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17" sheetId="12" r:id="rId12"/>
    <sheet name="грудень-2016" sheetId="13" r:id="rId13"/>
  </sheets>
  <externalReferences>
    <externalReference r:id="rId16"/>
  </externalReferences>
  <definedNames>
    <definedName name="_xlnm.Print_Titles" localSheetId="3">'вересень'!$3:$6</definedName>
    <definedName name="_xlnm.Print_Titles" localSheetId="2">'жовтень'!$3:$5</definedName>
  </definedNames>
  <calcPr fullCalcOnLoad="1"/>
</workbook>
</file>

<file path=xl/sharedStrings.xml><?xml version="1.0" encoding="utf-8"?>
<sst xmlns="http://schemas.openxmlformats.org/spreadsheetml/2006/main" count="2101" uniqueCount="288">
  <si>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</si>
  <si>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</si>
  <si>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</si>
  <si>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</si>
  <si>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</si>
  <si>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</si>
  <si>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</si>
  <si>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</si>
  <si>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</si>
  <si>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</si>
  <si>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</si>
  <si>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</si>
  <si>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</si>
  <si>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</si>
  <si>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</si>
  <si>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</si>
  <si>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</si>
  <si>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</si>
  <si>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</si>
  <si>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</si>
  <si>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</si>
  <si>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</si>
  <si>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</si>
  <si>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</si>
  <si>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</si>
  <si>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</si>
  <si>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</si>
  <si>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</si>
  <si>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</si>
  <si>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</si>
  <si>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</si>
  <si>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</si>
  <si>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</si>
  <si>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</si>
  <si>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</si>
  <si>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</si>
  <si>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</si>
  <si>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</si>
  <si>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</si>
  <si>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</si>
  <si>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</si>
  <si>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</si>
  <si>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</si>
  <si>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</si>
  <si>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</si>
  <si>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</si>
  <si>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</si>
  <si>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</si>
  <si>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</si>
  <si>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</si>
  <si>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</si>
  <si>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</si>
  <si>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</si>
  <si>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</si>
  <si>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</si>
  <si>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</si>
  <si>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</si>
  <si>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</si>
  <si>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</si>
  <si>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</si>
  <si>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</si>
  <si>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</si>
  <si>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</si>
  <si>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</si>
  <si>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</si>
  <si>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</si>
  <si>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</si>
  <si>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</si>
  <si>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</si>
  <si>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</si>
  <si>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</si>
  <si>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</si>
  <si>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</si>
  <si>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</si>
  <si>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</si>
  <si>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</si>
  <si>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</si>
  <si>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</si>
  <si>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</si>
  <si>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</si>
  <si>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</si>
  <si>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</si>
  <si>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</si>
  <si>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</si>
  <si>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</si>
  <si>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</si>
  <si>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</si>
  <si>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</si>
  <si>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</si>
  <si>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</si>
  <si>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</si>
  <si>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</si>
  <si>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</si>
  <si>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</si>
  <si>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</si>
  <si>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</si>
  <si>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</si>
  <si>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</si>
  <si>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</si>
  <si>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</si>
  <si>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</si>
  <si>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</si>
  <si>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</si>
  <si>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</si>
  <si>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</si>
  <si>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</si>
  <si>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</si>
  <si>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</si>
  <si>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</si>
  <si>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</si>
  <si>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</si>
  <si>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</si>
  <si>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</si>
  <si>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</si>
  <si>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</si>
  <si>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</si>
  <si>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</si>
  <si>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</si>
  <si>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</si>
  <si>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</si>
  <si>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</si>
  <si>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</si>
  <si>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</si>
  <si>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</si>
  <si>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</si>
  <si>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</si>
  <si>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</si>
  <si>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</si>
  <si>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</si>
  <si>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</si>
  <si>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</si>
  <si>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</si>
  <si>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</si>
  <si>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</si>
  <si>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</si>
  <si>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</si>
  <si>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</si>
  <si>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</si>
  <si>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</si>
  <si>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</si>
  <si>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</si>
  <si>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</si>
  <si>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</si>
  <si>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</si>
  <si>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</si>
  <si>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</si>
  <si>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</si>
  <si>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</si>
  <si>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</si>
  <si>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</si>
  <si>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</si>
  <si>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</si>
  <si>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</si>
  <si>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</si>
  <si>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</si>
  <si>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</si>
  <si>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</si>
  <si>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</si>
  <si>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</si>
  <si>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</si>
  <si>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</si>
  <si>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</si>
  <si>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</si>
  <si>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</si>
  <si>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</si>
  <si>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</si>
  <si>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</si>
  <si>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</si>
  <si>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</si>
  <si>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</si>
  <si>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</si>
  <si>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</si>
  <si>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</si>
  <si>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</si>
  <si>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</si>
  <si>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</si>
  <si>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</si>
  <si>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</si>
  <si>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</si>
  <si>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</si>
  <si>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</si>
  <si>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</si>
  <si>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</si>
  <si>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</si>
  <si>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</si>
  <si>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</si>
  <si>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</si>
  <si>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</si>
  <si>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</si>
  <si>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</si>
  <si>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</si>
  <si>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</si>
  <si>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</si>
  <si>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</si>
  <si>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</si>
  <si>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</si>
  <si>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</si>
  <si>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</si>
  <si>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</si>
  <si>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</si>
  <si>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</si>
  <si>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</si>
  <si>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</si>
  <si>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</si>
  <si>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</si>
  <si>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</si>
  <si>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</si>
  <si>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</si>
  <si>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</si>
  <si>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</si>
  <si>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</si>
  <si>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</si>
  <si>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</si>
  <si>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</si>
  <si>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</si>
  <si>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</si>
  <si>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</si>
  <si>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</si>
  <si>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</si>
  <si>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</si>
  <si>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</si>
  <si>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</si>
  <si>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</si>
  <si>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</si>
  <si>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</si>
  <si>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</si>
  <si>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</si>
  <si>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</si>
  <si>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</si>
  <si>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</si>
  <si>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</si>
  <si>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</si>
  <si>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</si>
  <si>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</si>
  <si>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</si>
  <si>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</si>
  <si>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</si>
  <si>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</si>
  <si>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</si>
  <si>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</si>
  <si>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</si>
  <si>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</si>
  <si>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</si>
  <si>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</si>
  <si>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</si>
  <si>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</si>
  <si>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</si>
  <si>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</si>
  <si>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</si>
  <si>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</si>
  <si>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</si>
  <si>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</si>
  <si>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</si>
  <si>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</si>
  <si>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</si>
  <si>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</si>
  <si>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</si>
  <si>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</si>
  <si>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</si>
  <si>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</si>
  <si>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</si>
  <si>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</si>
  <si>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</si>
  <si>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</si>
  <si>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</si>
  <si>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</si>
  <si>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</si>
  <si>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</si>
  <si>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</si>
  <si>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</si>
  <si>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</si>
  <si>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</si>
  <si>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</si>
  <si>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</si>
  <si>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</si>
  <si>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</si>
  <si>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</si>
  <si>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</si>
  <si>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</si>
  <si>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</si>
  <si>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</si>
  <si>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Відхилення (+,-) до  плану на січень-грудень 2017 року</t>
  </si>
  <si>
    <t>% виконання  плану на січень-грудень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</si>
  <si>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</si>
  <si>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t>інші надходження (24060000)</t>
  </si>
  <si>
    <t>ВСІ інші  податки і збори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</si>
  <si>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</si>
  <si>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18.12.17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</si>
</sst>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6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5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8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8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9" fillId="0" borderId="0" xfId="55" applyNumberFormat="1" applyFont="1" applyProtection="1">
      <alignment/>
      <protection/>
    </xf>
    <xf numFmtId="182" fontId="88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Fill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90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9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1" fillId="0" borderId="0" xfId="0" applyNumberFormat="1" applyFont="1" applyAlignment="1" applyProtection="1">
      <alignment/>
      <protection/>
    </xf>
    <xf numFmtId="4" fontId="91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2" fillId="39" borderId="10" xfId="0" applyNumberFormat="1" applyFont="1" applyFill="1" applyBorder="1" applyAlignment="1">
      <alignment/>
    </xf>
    <xf numFmtId="182" fontId="92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9" fillId="0" borderId="0" xfId="55" applyFont="1" applyAlignment="1" applyProtection="1">
      <alignment horizontal="center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9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94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5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9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6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286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123</v>
      </c>
      <c r="U3" s="473" t="s">
        <v>125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127</v>
      </c>
      <c r="F4" s="456" t="s">
        <v>33</v>
      </c>
      <c r="G4" s="445" t="s">
        <v>281</v>
      </c>
      <c r="H4" s="458" t="s">
        <v>282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287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283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1294181.1</v>
      </c>
      <c r="F8" s="151">
        <f>F9+F15+F18+F19+F23+F17</f>
        <v>1257913.14</v>
      </c>
      <c r="G8" s="151">
        <f>F8-E8</f>
        <v>-36267.960000000196</v>
      </c>
      <c r="H8" s="377">
        <f aca="true" t="shared" si="0" ref="H8:H15">F8/E8</f>
        <v>0.9719761322430066</v>
      </c>
      <c r="I8" s="153">
        <f aca="true" t="shared" si="1" ref="I8:I52">F8-D8</f>
        <v>-36267.960000000196</v>
      </c>
      <c r="J8" s="219">
        <f aca="true" t="shared" si="2" ref="J8:J14">F8/D8</f>
        <v>0.9719761322430066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f aca="true" t="shared" si="5" ref="Q8:Q51">N8</f>
        <v>984796</v>
      </c>
      <c r="R8" s="151">
        <f aca="true" t="shared" si="6" ref="R8:R78">F8-Q8</f>
        <v>273117.1399999999</v>
      </c>
      <c r="S8" s="205">
        <f aca="true" t="shared" si="7" ref="S8:S20">F8/Q8</f>
        <v>1.2773337219078875</v>
      </c>
      <c r="T8" s="151">
        <f>T9+T15+T18+T19+T23+T17</f>
        <v>111615.5</v>
      </c>
      <c r="U8" s="151">
        <f>U9+U15+U18+U19+U23+U17</f>
        <v>51720.65000000005</v>
      </c>
      <c r="V8" s="151">
        <f>U8-T8</f>
        <v>-59894.84999999995</v>
      </c>
      <c r="W8" s="205">
        <f aca="true" t="shared" si="8" ref="W8:W15">U8/T8</f>
        <v>0.46338232593143475</v>
      </c>
      <c r="X8" s="365">
        <f aca="true" t="shared" si="9" ref="X8:X22">S8-P8</f>
        <v>-0.03682789125869723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f aca="true" t="shared" si="10" ref="E9:E22">D9</f>
        <v>766645</v>
      </c>
      <c r="F9" s="156">
        <v>728226.37</v>
      </c>
      <c r="G9" s="150">
        <f>F9-E9</f>
        <v>-38418.630000000005</v>
      </c>
      <c r="H9" s="375">
        <f t="shared" si="0"/>
        <v>0.9498873272505527</v>
      </c>
      <c r="I9" s="158">
        <f t="shared" si="1"/>
        <v>-38418.630000000005</v>
      </c>
      <c r="J9" s="210">
        <f t="shared" si="2"/>
        <v>0.9498873272505527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f t="shared" si="5"/>
        <v>541908.6</v>
      </c>
      <c r="R9" s="159">
        <f t="shared" si="6"/>
        <v>186317.77000000002</v>
      </c>
      <c r="S9" s="206">
        <f t="shared" si="7"/>
        <v>1.343817702837711</v>
      </c>
      <c r="T9" s="157">
        <f>E9-листопад!E9</f>
        <v>80979</v>
      </c>
      <c r="U9" s="160">
        <f>F9-листопад!F9</f>
        <v>38785.18000000005</v>
      </c>
      <c r="V9" s="161">
        <f>U9-T9</f>
        <v>-42193.81999999995</v>
      </c>
      <c r="W9" s="210">
        <f t="shared" si="8"/>
        <v>0.4789535558601619</v>
      </c>
      <c r="X9" s="366">
        <f t="shared" si="9"/>
        <v>-0.07089503654306295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f t="shared" si="10"/>
        <v>705817</v>
      </c>
      <c r="F10" s="140">
        <v>666766.44</v>
      </c>
      <c r="G10" s="103">
        <f aca="true" t="shared" si="11" ref="G10:G47">F10-E10</f>
        <v>-39050.560000000056</v>
      </c>
      <c r="H10" s="376">
        <f t="shared" si="0"/>
        <v>0.9446732509984882</v>
      </c>
      <c r="I10" s="104">
        <f t="shared" si="1"/>
        <v>-39050.560000000056</v>
      </c>
      <c r="J10" s="109">
        <f t="shared" si="2"/>
        <v>0.9446732509984882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f t="shared" si="5"/>
        <v>476189.93</v>
      </c>
      <c r="R10" s="106">
        <f t="shared" si="6"/>
        <v>190576.50999999995</v>
      </c>
      <c r="S10" s="207">
        <f t="shared" si="7"/>
        <v>1.400211130042166</v>
      </c>
      <c r="T10" s="105">
        <f>E10-листопад!E10</f>
        <v>79503</v>
      </c>
      <c r="U10" s="144">
        <f>F10-листопад!F10</f>
        <v>35129.07999999996</v>
      </c>
      <c r="V10" s="106">
        <f aca="true" t="shared" si="12" ref="V10:V52">U10-T10</f>
        <v>-44373.92000000004</v>
      </c>
      <c r="W10" s="109">
        <f t="shared" si="8"/>
        <v>0.44185854621838117</v>
      </c>
      <c r="X10" s="364">
        <f t="shared" si="9"/>
        <v>-0.08200627006119188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f t="shared" si="10"/>
        <v>42006</v>
      </c>
      <c r="F11" s="140">
        <v>39039.07</v>
      </c>
      <c r="G11" s="103">
        <f t="shared" si="11"/>
        <v>-2966.9300000000003</v>
      </c>
      <c r="H11" s="376">
        <f t="shared" si="0"/>
        <v>0.9293688996809979</v>
      </c>
      <c r="I11" s="104">
        <f t="shared" si="1"/>
        <v>-2966.9300000000003</v>
      </c>
      <c r="J11" s="109">
        <f t="shared" si="2"/>
        <v>0.9293688996809979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f t="shared" si="5"/>
        <v>42401.33</v>
      </c>
      <c r="R11" s="106">
        <f t="shared" si="6"/>
        <v>-3362.260000000002</v>
      </c>
      <c r="S11" s="207">
        <f t="shared" si="7"/>
        <v>0.920703902448343</v>
      </c>
      <c r="T11" s="105">
        <f>E11-листопад!E11</f>
        <v>0</v>
      </c>
      <c r="U11" s="144">
        <f>F11-листопад!F11</f>
        <v>1556.3300000000017</v>
      </c>
      <c r="V11" s="106">
        <f t="shared" si="12"/>
        <v>1556.3300000000017</v>
      </c>
      <c r="W11" s="109" t="e">
        <f t="shared" si="8"/>
        <v>#DIV/0!</v>
      </c>
      <c r="X11" s="364">
        <f t="shared" si="9"/>
        <v>-0.06997256925667183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f t="shared" si="10"/>
        <v>8280</v>
      </c>
      <c r="F12" s="140">
        <v>11182.77</v>
      </c>
      <c r="G12" s="103">
        <f t="shared" si="11"/>
        <v>2902.7700000000004</v>
      </c>
      <c r="H12" s="376">
        <f t="shared" si="0"/>
        <v>1.3505760869565218</v>
      </c>
      <c r="I12" s="104">
        <f t="shared" si="1"/>
        <v>2902.7700000000004</v>
      </c>
      <c r="J12" s="109">
        <f t="shared" si="2"/>
        <v>1.3505760869565218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f t="shared" si="5"/>
        <v>10663.92</v>
      </c>
      <c r="R12" s="106">
        <f t="shared" si="6"/>
        <v>518.8500000000004</v>
      </c>
      <c r="S12" s="207">
        <f t="shared" si="7"/>
        <v>1.048654716089393</v>
      </c>
      <c r="T12" s="105">
        <f>E12-листопад!E12</f>
        <v>780</v>
      </c>
      <c r="U12" s="144">
        <f>F12-листопад!F12</f>
        <v>1711.7399999999998</v>
      </c>
      <c r="V12" s="106">
        <f t="shared" si="12"/>
        <v>931.7399999999998</v>
      </c>
      <c r="W12" s="109">
        <f t="shared" si="8"/>
        <v>2.1945384615384613</v>
      </c>
      <c r="X12" s="364">
        <f t="shared" si="9"/>
        <v>0.27220478023090955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f t="shared" si="10"/>
        <v>9390</v>
      </c>
      <c r="F13" s="140">
        <v>9874.33</v>
      </c>
      <c r="G13" s="103">
        <f t="shared" si="11"/>
        <v>484.3299999999999</v>
      </c>
      <c r="H13" s="376">
        <f t="shared" si="0"/>
        <v>1.0515793397231097</v>
      </c>
      <c r="I13" s="104">
        <f t="shared" si="1"/>
        <v>484.3299999999999</v>
      </c>
      <c r="J13" s="109">
        <f t="shared" si="2"/>
        <v>1.0515793397231097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f t="shared" si="5"/>
        <v>9532.64</v>
      </c>
      <c r="R13" s="106">
        <f t="shared" si="6"/>
        <v>341.6900000000005</v>
      </c>
      <c r="S13" s="207">
        <f t="shared" si="7"/>
        <v>1.0358442152436262</v>
      </c>
      <c r="T13" s="105">
        <f>E13-листопад!E13</f>
        <v>600</v>
      </c>
      <c r="U13" s="144">
        <f>F13-листопад!F13</f>
        <v>276.7399999999998</v>
      </c>
      <c r="V13" s="106">
        <f t="shared" si="12"/>
        <v>-323.2600000000002</v>
      </c>
      <c r="W13" s="109">
        <f t="shared" si="8"/>
        <v>0.461233333333333</v>
      </c>
      <c r="X13" s="364">
        <f t="shared" si="9"/>
        <v>0.050807541247755106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f t="shared" si="10"/>
        <v>1152</v>
      </c>
      <c r="F14" s="140">
        <v>1363.78</v>
      </c>
      <c r="G14" s="103">
        <f t="shared" si="11"/>
        <v>211.77999999999997</v>
      </c>
      <c r="H14" s="376">
        <f t="shared" si="0"/>
        <v>1.1838368055555555</v>
      </c>
      <c r="I14" s="104">
        <f t="shared" si="1"/>
        <v>211.77999999999997</v>
      </c>
      <c r="J14" s="109">
        <f t="shared" si="2"/>
        <v>1.1838368055555555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f t="shared" si="5"/>
        <v>3120.73</v>
      </c>
      <c r="R14" s="106">
        <f t="shared" si="6"/>
        <v>-1756.95</v>
      </c>
      <c r="S14" s="207">
        <f t="shared" si="7"/>
        <v>0.43700672599039325</v>
      </c>
      <c r="T14" s="105">
        <f>E14-листопад!E14</f>
        <v>96</v>
      </c>
      <c r="U14" s="144">
        <f>F14-листопад!F14</f>
        <v>111.30999999999995</v>
      </c>
      <c r="V14" s="106">
        <f t="shared" si="12"/>
        <v>15.309999999999945</v>
      </c>
      <c r="W14" s="109">
        <f t="shared" si="8"/>
        <v>1.1594791666666662</v>
      </c>
      <c r="X14" s="364">
        <f t="shared" si="9"/>
        <v>0.06786232708372719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f t="shared" si="10"/>
        <v>451</v>
      </c>
      <c r="F15" s="156">
        <v>887.61</v>
      </c>
      <c r="G15" s="150">
        <f t="shared" si="11"/>
        <v>436.61</v>
      </c>
      <c r="H15" s="375">
        <f t="shared" si="0"/>
        <v>1.9680931263858092</v>
      </c>
      <c r="I15" s="158">
        <f t="shared" si="1"/>
        <v>436.61</v>
      </c>
      <c r="J15" s="158">
        <f aca="true" t="shared" si="13" ref="J15:J23"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f t="shared" si="5"/>
        <v>459.29</v>
      </c>
      <c r="R15" s="161">
        <f t="shared" si="6"/>
        <v>428.32</v>
      </c>
      <c r="S15" s="208">
        <f t="shared" si="7"/>
        <v>1.9325698360512966</v>
      </c>
      <c r="T15" s="157">
        <f>E15-листопад!E15</f>
        <v>0</v>
      </c>
      <c r="U15" s="160">
        <f>F15-листопад!F15</f>
        <v>0</v>
      </c>
      <c r="V15" s="161">
        <f t="shared" si="12"/>
        <v>0</v>
      </c>
      <c r="W15" s="210" t="e">
        <f t="shared" si="8"/>
        <v>#DIV/0!</v>
      </c>
      <c r="X15" s="363">
        <f t="shared" si="9"/>
        <v>0.9506194343443142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50">
        <f t="shared" si="10"/>
        <v>0</v>
      </c>
      <c r="F16" s="140">
        <v>0</v>
      </c>
      <c r="G16" s="150">
        <f t="shared" si="11"/>
        <v>0</v>
      </c>
      <c r="H16" s="375" t="e">
        <f>F16/E16/100</f>
        <v>#DIV/0!</v>
      </c>
      <c r="I16" s="158">
        <f t="shared" si="1"/>
        <v>0</v>
      </c>
      <c r="J16" s="158" t="e">
        <f t="shared" si="13"/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61">
        <f t="shared" si="5"/>
        <v>0</v>
      </c>
      <c r="R16" s="161">
        <f t="shared" si="6"/>
        <v>0</v>
      </c>
      <c r="S16" s="208" t="e">
        <f t="shared" si="7"/>
        <v>#DIV/0!</v>
      </c>
      <c r="T16" s="157">
        <f>E16-листопад!E16</f>
        <v>0</v>
      </c>
      <c r="U16" s="160">
        <f>F16-листопад!F16</f>
        <v>0</v>
      </c>
      <c r="V16" s="161">
        <f t="shared" si="12"/>
        <v>0</v>
      </c>
      <c r="W16" s="210" t="e">
        <f>U16/T16*100</f>
        <v>#DIV/0!</v>
      </c>
      <c r="X16" s="363" t="e">
        <f t="shared" si="9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50">
        <f t="shared" si="10"/>
        <v>0</v>
      </c>
      <c r="F17" s="163">
        <v>0.49</v>
      </c>
      <c r="G17" s="150">
        <f t="shared" si="11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1">
        <f t="shared" si="5"/>
        <v>0.17</v>
      </c>
      <c r="R17" s="161">
        <f t="shared" si="6"/>
        <v>0.31999999999999995</v>
      </c>
      <c r="S17" s="208">
        <f t="shared" si="7"/>
        <v>2.88235294117647</v>
      </c>
      <c r="T17" s="157">
        <f>E17-листопад!E17</f>
        <v>0</v>
      </c>
      <c r="U17" s="160">
        <f>F17-листопад!F17</f>
        <v>0</v>
      </c>
      <c r="V17" s="161">
        <f t="shared" si="12"/>
        <v>0</v>
      </c>
      <c r="W17" s="210"/>
      <c r="X17" s="363">
        <f t="shared" si="9"/>
        <v>2.88235294117647</v>
      </c>
    </row>
    <row r="18" spans="1:24" s="6" customFormat="1" ht="30.75">
      <c r="A18" s="8"/>
      <c r="B18" s="130" t="s">
        <v>117</v>
      </c>
      <c r="C18" s="120">
        <v>13030200</v>
      </c>
      <c r="D18" s="150">
        <v>125</v>
      </c>
      <c r="E18" s="150">
        <f t="shared" si="10"/>
        <v>125</v>
      </c>
      <c r="F18" s="156">
        <v>220.59</v>
      </c>
      <c r="G18" s="150">
        <f t="shared" si="11"/>
        <v>95.59</v>
      </c>
      <c r="H18" s="375">
        <f aca="true" t="shared" si="14" ref="H18:H41">F18/E18</f>
        <v>1.76472</v>
      </c>
      <c r="I18" s="158">
        <f t="shared" si="1"/>
        <v>95.59</v>
      </c>
      <c r="J18" s="158">
        <f t="shared" si="13"/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f t="shared" si="5"/>
        <v>124.7</v>
      </c>
      <c r="R18" s="161">
        <f t="shared" si="6"/>
        <v>95.89</v>
      </c>
      <c r="S18" s="208">
        <f t="shared" si="7"/>
        <v>1.7689655172413794</v>
      </c>
      <c r="T18" s="157">
        <f>E18-листопад!E18</f>
        <v>0</v>
      </c>
      <c r="U18" s="160">
        <f>F18-листопад!F18</f>
        <v>0</v>
      </c>
      <c r="V18" s="161">
        <f t="shared" si="12"/>
        <v>0</v>
      </c>
      <c r="W18" s="210" t="e">
        <f aca="true" t="shared" si="15" ref="W18:W25">U18/T18</f>
        <v>#DIV/0!</v>
      </c>
      <c r="X18" s="363">
        <f t="shared" si="9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 t="shared" si="10"/>
        <v>125700</v>
      </c>
      <c r="F19" s="223">
        <v>114990.1</v>
      </c>
      <c r="G19" s="150">
        <f t="shared" si="11"/>
        <v>-10709.899999999994</v>
      </c>
      <c r="H19" s="375">
        <f t="shared" si="14"/>
        <v>0.9147979315831345</v>
      </c>
      <c r="I19" s="158">
        <f t="shared" si="1"/>
        <v>-10709.899999999994</v>
      </c>
      <c r="J19" s="158">
        <f t="shared" si="13"/>
        <v>91.47979315831346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f t="shared" si="5"/>
        <v>101799.72</v>
      </c>
      <c r="R19" s="161">
        <f t="shared" si="6"/>
        <v>13190.380000000005</v>
      </c>
      <c r="S19" s="208">
        <f t="shared" si="7"/>
        <v>1.129571869156418</v>
      </c>
      <c r="T19" s="157">
        <f>E19-листопад!E19</f>
        <v>8800</v>
      </c>
      <c r="U19" s="160">
        <f>F19-листопад!F19</f>
        <v>3518.1600000000035</v>
      </c>
      <c r="V19" s="161">
        <f t="shared" si="12"/>
        <v>-5281.8399999999965</v>
      </c>
      <c r="W19" s="210">
        <f t="shared" si="15"/>
        <v>0.3997909090909095</v>
      </c>
      <c r="X19" s="363">
        <f t="shared" si="9"/>
        <v>-0.10520559388571993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f t="shared" si="10"/>
        <v>63400</v>
      </c>
      <c r="F20" s="201">
        <v>56862.94</v>
      </c>
      <c r="G20" s="253">
        <f t="shared" si="11"/>
        <v>-6537.059999999998</v>
      </c>
      <c r="H20" s="378">
        <f t="shared" si="14"/>
        <v>0.8968917981072556</v>
      </c>
      <c r="I20" s="254">
        <f t="shared" si="1"/>
        <v>-6537.059999999998</v>
      </c>
      <c r="J20" s="254">
        <f t="shared" si="13"/>
        <v>89.68917981072556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f t="shared" si="5"/>
        <v>101799.72</v>
      </c>
      <c r="R20" s="166">
        <f t="shared" si="6"/>
        <v>-44936.78</v>
      </c>
      <c r="S20" s="256">
        <f t="shared" si="7"/>
        <v>0.5585765854758736</v>
      </c>
      <c r="T20" s="195">
        <f>E20-листопад!E20</f>
        <v>0</v>
      </c>
      <c r="U20" s="179">
        <f>F20-листопад!F20</f>
        <v>415.92000000000553</v>
      </c>
      <c r="V20" s="166">
        <f t="shared" si="12"/>
        <v>415.92000000000553</v>
      </c>
      <c r="W20" s="305" t="e">
        <f t="shared" si="15"/>
        <v>#DIV/0!</v>
      </c>
      <c r="X20" s="363">
        <f t="shared" si="9"/>
        <v>-0.06421491139661284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f t="shared" si="10"/>
        <v>12200</v>
      </c>
      <c r="F21" s="201">
        <v>11708.76</v>
      </c>
      <c r="G21" s="253">
        <f t="shared" si="11"/>
        <v>-491.2399999999998</v>
      </c>
      <c r="H21" s="378">
        <f t="shared" si="14"/>
        <v>0.9597344262295082</v>
      </c>
      <c r="I21" s="254">
        <f t="shared" si="1"/>
        <v>-491.2399999999998</v>
      </c>
      <c r="J21" s="254">
        <f t="shared" si="13"/>
        <v>95.97344262295083</v>
      </c>
      <c r="K21" s="254"/>
      <c r="L21" s="254"/>
      <c r="M21" s="254"/>
      <c r="N21" s="254"/>
      <c r="O21" s="254"/>
      <c r="P21" s="305"/>
      <c r="Q21" s="166">
        <f t="shared" si="5"/>
        <v>0</v>
      </c>
      <c r="R21" s="166">
        <f t="shared" si="6"/>
        <v>11708.76</v>
      </c>
      <c r="S21" s="256"/>
      <c r="T21" s="195">
        <f>E21-листопад!E21</f>
        <v>1000</v>
      </c>
      <c r="U21" s="179">
        <f>F21-листопад!F21</f>
        <v>526.3600000000006</v>
      </c>
      <c r="V21" s="166">
        <f t="shared" si="12"/>
        <v>-473.6399999999994</v>
      </c>
      <c r="W21" s="305">
        <f t="shared" si="15"/>
        <v>0.5263600000000006</v>
      </c>
      <c r="X21" s="363">
        <f t="shared" si="9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f t="shared" si="10"/>
        <v>50100</v>
      </c>
      <c r="F22" s="201">
        <v>46418.4</v>
      </c>
      <c r="G22" s="253">
        <f t="shared" si="11"/>
        <v>-3681.5999999999985</v>
      </c>
      <c r="H22" s="378">
        <f t="shared" si="14"/>
        <v>0.9265149700598803</v>
      </c>
      <c r="I22" s="254">
        <f t="shared" si="1"/>
        <v>-3681.5999999999985</v>
      </c>
      <c r="J22" s="254">
        <f t="shared" si="13"/>
        <v>92.65149700598802</v>
      </c>
      <c r="K22" s="254"/>
      <c r="L22" s="254"/>
      <c r="M22" s="254"/>
      <c r="N22" s="254"/>
      <c r="O22" s="254"/>
      <c r="P22" s="305"/>
      <c r="Q22" s="166">
        <f t="shared" si="5"/>
        <v>0</v>
      </c>
      <c r="R22" s="166">
        <f t="shared" si="6"/>
        <v>46418.4</v>
      </c>
      <c r="S22" s="256"/>
      <c r="T22" s="195">
        <f>E22-листопад!E22</f>
        <v>7800</v>
      </c>
      <c r="U22" s="179">
        <f>F22-листопад!F22</f>
        <v>2575.8800000000047</v>
      </c>
      <c r="V22" s="166">
        <f t="shared" si="12"/>
        <v>-5224.119999999995</v>
      </c>
      <c r="W22" s="305">
        <f t="shared" si="15"/>
        <v>0.33024102564102625</v>
      </c>
      <c r="X22" s="363">
        <f t="shared" si="9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401260.1</v>
      </c>
      <c r="F23" s="223">
        <v>413587.98</v>
      </c>
      <c r="G23" s="150">
        <f t="shared" si="11"/>
        <v>12327.880000000005</v>
      </c>
      <c r="H23" s="375">
        <f t="shared" si="14"/>
        <v>1.0307229151365909</v>
      </c>
      <c r="I23" s="158">
        <f t="shared" si="1"/>
        <v>12327.880000000005</v>
      </c>
      <c r="J23" s="158">
        <f t="shared" si="13"/>
        <v>103.07229151365908</v>
      </c>
      <c r="K23" s="158"/>
      <c r="L23" s="158"/>
      <c r="M23" s="158"/>
      <c r="N23" s="158">
        <v>340503.51</v>
      </c>
      <c r="O23" s="158">
        <f aca="true" t="shared" si="16" ref="O23:O51">D23-N23</f>
        <v>60756.58999999997</v>
      </c>
      <c r="P23" s="210">
        <f aca="true" t="shared" si="17" ref="P23:P51">D23/N23</f>
        <v>1.1784316114685571</v>
      </c>
      <c r="Q23" s="158">
        <f t="shared" si="5"/>
        <v>340503.51</v>
      </c>
      <c r="R23" s="161">
        <f t="shared" si="6"/>
        <v>73084.46999999997</v>
      </c>
      <c r="S23" s="209">
        <f aca="true" t="shared" si="18" ref="S23:S41">F23/Q23</f>
        <v>1.2146364658619817</v>
      </c>
      <c r="T23" s="157">
        <f>E23-листопад!E23</f>
        <v>21836.5</v>
      </c>
      <c r="U23" s="160">
        <f>F23-листопад!F23</f>
        <v>9417.309999999998</v>
      </c>
      <c r="V23" s="161">
        <f t="shared" si="12"/>
        <v>-12419.190000000002</v>
      </c>
      <c r="W23" s="210">
        <f t="shared" si="15"/>
        <v>0.4312646257413046</v>
      </c>
      <c r="X23" s="363">
        <f>S23-P23</f>
        <v>0.03620485439342458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206751</v>
      </c>
      <c r="F24" s="223">
        <f>F25+F32+F35</f>
        <v>194701.63</v>
      </c>
      <c r="G24" s="150">
        <f t="shared" si="11"/>
        <v>-12049.369999999995</v>
      </c>
      <c r="H24" s="375">
        <f t="shared" si="14"/>
        <v>0.9417203786196923</v>
      </c>
      <c r="I24" s="158">
        <f t="shared" si="1"/>
        <v>-12049.369999999995</v>
      </c>
      <c r="J24" s="210">
        <f aca="true" t="shared" si="19" ref="J24:J41">F24/D24</f>
        <v>0.9417203786196923</v>
      </c>
      <c r="K24" s="158"/>
      <c r="L24" s="158"/>
      <c r="M24" s="158"/>
      <c r="N24" s="158">
        <v>182295.05</v>
      </c>
      <c r="O24" s="158">
        <f t="shared" si="16"/>
        <v>24455.95000000001</v>
      </c>
      <c r="P24" s="210">
        <f t="shared" si="17"/>
        <v>1.134155864352872</v>
      </c>
      <c r="Q24" s="158">
        <f t="shared" si="5"/>
        <v>182295.05</v>
      </c>
      <c r="R24" s="161">
        <f t="shared" si="6"/>
        <v>12406.580000000016</v>
      </c>
      <c r="S24" s="209">
        <f t="shared" si="18"/>
        <v>1.068057689992131</v>
      </c>
      <c r="T24" s="157">
        <f>E24-листопад!E24</f>
        <v>15189.899999999994</v>
      </c>
      <c r="U24" s="160">
        <f>F24-листопад!F24</f>
        <v>3445.820000000007</v>
      </c>
      <c r="V24" s="161">
        <f t="shared" si="12"/>
        <v>-11744.079999999987</v>
      </c>
      <c r="W24" s="210">
        <f t="shared" si="15"/>
        <v>0.22684941968018277</v>
      </c>
      <c r="X24" s="363">
        <f aca="true" t="shared" si="20" ref="X24:X99">S24-P24</f>
        <v>-0.06609817436074095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f aca="true" t="shared" si="21" ref="E25:E45">D25</f>
        <v>22809</v>
      </c>
      <c r="F25" s="201">
        <v>24540.06</v>
      </c>
      <c r="G25" s="253">
        <f t="shared" si="11"/>
        <v>1731.0600000000013</v>
      </c>
      <c r="H25" s="378">
        <f t="shared" si="14"/>
        <v>1.075893726160726</v>
      </c>
      <c r="I25" s="254">
        <f t="shared" si="1"/>
        <v>1731.0600000000013</v>
      </c>
      <c r="J25" s="305">
        <f t="shared" si="19"/>
        <v>1.075893726160726</v>
      </c>
      <c r="K25" s="254"/>
      <c r="L25" s="254"/>
      <c r="M25" s="254"/>
      <c r="N25" s="254">
        <v>21482.16</v>
      </c>
      <c r="O25" s="254">
        <f t="shared" si="16"/>
        <v>1326.8400000000001</v>
      </c>
      <c r="P25" s="305">
        <f t="shared" si="17"/>
        <v>1.0617647387413556</v>
      </c>
      <c r="Q25" s="304">
        <f t="shared" si="5"/>
        <v>21482.16</v>
      </c>
      <c r="R25" s="166">
        <f t="shared" si="6"/>
        <v>3057.9000000000015</v>
      </c>
      <c r="S25" s="215">
        <f t="shared" si="18"/>
        <v>1.142346021070507</v>
      </c>
      <c r="T25" s="195">
        <f>E25-листопад!E25</f>
        <v>544.9000000000015</v>
      </c>
      <c r="U25" s="179">
        <f>F25-листопад!F25</f>
        <v>29.830000000001746</v>
      </c>
      <c r="V25" s="166">
        <f t="shared" si="12"/>
        <v>-515.0699999999997</v>
      </c>
      <c r="W25" s="305">
        <f t="shared" si="15"/>
        <v>0.05474398972288799</v>
      </c>
      <c r="X25" s="363">
        <f t="shared" si="20"/>
        <v>0.0805812823291514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 t="shared" si="21"/>
        <v>1822.3</v>
      </c>
      <c r="F26" s="199">
        <f>F28+F29</f>
        <v>1448.1399999999999</v>
      </c>
      <c r="G26" s="223">
        <f t="shared" si="11"/>
        <v>-374.1600000000001</v>
      </c>
      <c r="H26" s="379">
        <f t="shared" si="14"/>
        <v>0.794677056467102</v>
      </c>
      <c r="I26" s="299">
        <f t="shared" si="1"/>
        <v>-374.1600000000001</v>
      </c>
      <c r="J26" s="341">
        <f t="shared" si="19"/>
        <v>0.794677056467102</v>
      </c>
      <c r="K26" s="299"/>
      <c r="L26" s="299"/>
      <c r="M26" s="299"/>
      <c r="N26" s="299">
        <v>842.7</v>
      </c>
      <c r="O26" s="299">
        <f t="shared" si="16"/>
        <v>979.5999999999999</v>
      </c>
      <c r="P26" s="341">
        <f t="shared" si="17"/>
        <v>2.162454016850599</v>
      </c>
      <c r="Q26" s="200">
        <f t="shared" si="5"/>
        <v>842.7</v>
      </c>
      <c r="R26" s="367">
        <f t="shared" si="6"/>
        <v>605.4399999999998</v>
      </c>
      <c r="S26" s="228">
        <f t="shared" si="18"/>
        <v>1.718452592856295</v>
      </c>
      <c r="T26" s="237">
        <f>E26-листопад!E26</f>
        <v>55</v>
      </c>
      <c r="U26" s="237">
        <f>F26-листопад!F26</f>
        <v>40.35999999999967</v>
      </c>
      <c r="V26" s="299">
        <f t="shared" si="12"/>
        <v>-14.640000000000327</v>
      </c>
      <c r="W26" s="341">
        <f aca="true" t="shared" si="22" ref="W26:W41">U26/T26*100</f>
        <v>73.38181818181758</v>
      </c>
      <c r="X26" s="363">
        <f t="shared" si="20"/>
        <v>-0.444001423994304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 t="shared" si="21"/>
        <v>20986.699999999997</v>
      </c>
      <c r="F27" s="199">
        <f>F30+F31</f>
        <v>23091.92</v>
      </c>
      <c r="G27" s="223">
        <f t="shared" si="11"/>
        <v>2105.220000000001</v>
      </c>
      <c r="H27" s="379">
        <f t="shared" si="14"/>
        <v>1.100312102426775</v>
      </c>
      <c r="I27" s="299">
        <f t="shared" si="1"/>
        <v>2105.220000000001</v>
      </c>
      <c r="J27" s="341">
        <f t="shared" si="19"/>
        <v>1.100312102426775</v>
      </c>
      <c r="K27" s="299"/>
      <c r="L27" s="299"/>
      <c r="M27" s="299"/>
      <c r="N27" s="299">
        <v>20639.46</v>
      </c>
      <c r="O27" s="299">
        <f t="shared" si="16"/>
        <v>347.23999999999796</v>
      </c>
      <c r="P27" s="341">
        <f t="shared" si="17"/>
        <v>1.01682408357583</v>
      </c>
      <c r="Q27" s="200">
        <f t="shared" si="5"/>
        <v>20639.46</v>
      </c>
      <c r="R27" s="367">
        <f t="shared" si="6"/>
        <v>2452.459999999999</v>
      </c>
      <c r="S27" s="228">
        <f t="shared" si="18"/>
        <v>1.1188238451975003</v>
      </c>
      <c r="T27" s="237">
        <f>E27-листопад!E27</f>
        <v>489.8999999999978</v>
      </c>
      <c r="U27" s="237">
        <f>F27-листопад!F27</f>
        <v>-10.540000000000873</v>
      </c>
      <c r="V27" s="299">
        <f t="shared" si="12"/>
        <v>-500.4399999999987</v>
      </c>
      <c r="W27" s="341">
        <f t="shared" si="22"/>
        <v>-2.1514594815270303</v>
      </c>
      <c r="X27" s="363">
        <f t="shared" si="20"/>
        <v>0.10199976162167035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f t="shared" si="21"/>
        <v>922.3</v>
      </c>
      <c r="F28" s="373">
        <v>263.83</v>
      </c>
      <c r="G28" s="385">
        <f t="shared" si="11"/>
        <v>-658.47</v>
      </c>
      <c r="H28" s="387">
        <f t="shared" si="14"/>
        <v>0.28605659763634395</v>
      </c>
      <c r="I28" s="388">
        <f t="shared" si="1"/>
        <v>-658.47</v>
      </c>
      <c r="J28" s="389">
        <f t="shared" si="19"/>
        <v>0.28605659763634395</v>
      </c>
      <c r="K28" s="299"/>
      <c r="L28" s="299"/>
      <c r="M28" s="299"/>
      <c r="N28" s="388">
        <v>395.2</v>
      </c>
      <c r="O28" s="388">
        <f t="shared" si="16"/>
        <v>527.0999999999999</v>
      </c>
      <c r="P28" s="389">
        <f t="shared" si="17"/>
        <v>2.3337550607287447</v>
      </c>
      <c r="Q28" s="388">
        <f t="shared" si="5"/>
        <v>395.2</v>
      </c>
      <c r="R28" s="388">
        <f t="shared" si="6"/>
        <v>-131.37</v>
      </c>
      <c r="S28" s="389">
        <f t="shared" si="18"/>
        <v>0.667586032388664</v>
      </c>
      <c r="T28" s="373">
        <f>E28-листопад!E28</f>
        <v>5</v>
      </c>
      <c r="U28" s="373">
        <f>F28-листопад!F28</f>
        <v>2.9699999999999704</v>
      </c>
      <c r="V28" s="388">
        <f t="shared" si="12"/>
        <v>-2.0300000000000296</v>
      </c>
      <c r="W28" s="389">
        <f t="shared" si="22"/>
        <v>59.39999999999941</v>
      </c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f t="shared" si="21"/>
        <v>900</v>
      </c>
      <c r="F29" s="373">
        <v>1184.31</v>
      </c>
      <c r="G29" s="385">
        <f t="shared" si="11"/>
        <v>284.30999999999995</v>
      </c>
      <c r="H29" s="387">
        <f t="shared" si="14"/>
        <v>1.3158999999999998</v>
      </c>
      <c r="I29" s="388">
        <f t="shared" si="1"/>
        <v>284.30999999999995</v>
      </c>
      <c r="J29" s="389">
        <f t="shared" si="19"/>
        <v>1.3158999999999998</v>
      </c>
      <c r="K29" s="299"/>
      <c r="L29" s="299"/>
      <c r="M29" s="299"/>
      <c r="N29" s="388">
        <v>447.5</v>
      </c>
      <c r="O29" s="388">
        <f t="shared" si="16"/>
        <v>452.5</v>
      </c>
      <c r="P29" s="389">
        <f t="shared" si="17"/>
        <v>2.011173184357542</v>
      </c>
      <c r="Q29" s="388">
        <f t="shared" si="5"/>
        <v>447.5</v>
      </c>
      <c r="R29" s="388">
        <f t="shared" si="6"/>
        <v>736.81</v>
      </c>
      <c r="S29" s="389">
        <f t="shared" si="18"/>
        <v>2.646502793296089</v>
      </c>
      <c r="T29" s="373">
        <f>E29-листопад!E29</f>
        <v>50</v>
      </c>
      <c r="U29" s="373">
        <f>F29-листопад!F29</f>
        <v>37.38999999999987</v>
      </c>
      <c r="V29" s="388">
        <f t="shared" si="12"/>
        <v>-12.610000000000127</v>
      </c>
      <c r="W29" s="389">
        <f t="shared" si="22"/>
        <v>74.77999999999975</v>
      </c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f t="shared" si="21"/>
        <v>2019.1</v>
      </c>
      <c r="F30" s="373">
        <v>1975.17</v>
      </c>
      <c r="G30" s="385">
        <f t="shared" si="11"/>
        <v>-43.929999999999836</v>
      </c>
      <c r="H30" s="387">
        <f t="shared" si="14"/>
        <v>0.9782427814372742</v>
      </c>
      <c r="I30" s="388">
        <f t="shared" si="1"/>
        <v>-43.929999999999836</v>
      </c>
      <c r="J30" s="389">
        <f t="shared" si="19"/>
        <v>0.9782427814372742</v>
      </c>
      <c r="K30" s="299"/>
      <c r="L30" s="299"/>
      <c r="M30" s="299"/>
      <c r="N30" s="388">
        <v>1968.01</v>
      </c>
      <c r="O30" s="388">
        <f t="shared" si="16"/>
        <v>51.08999999999992</v>
      </c>
      <c r="P30" s="389">
        <f t="shared" si="17"/>
        <v>1.0259602339419007</v>
      </c>
      <c r="Q30" s="388">
        <f t="shared" si="5"/>
        <v>1968.01</v>
      </c>
      <c r="R30" s="388">
        <f t="shared" si="6"/>
        <v>7.160000000000082</v>
      </c>
      <c r="S30" s="389">
        <f t="shared" si="18"/>
        <v>1.0036381928953613</v>
      </c>
      <c r="T30" s="373">
        <f>E30-листопад!E30</f>
        <v>0</v>
      </c>
      <c r="U30" s="373">
        <f>F30-листопад!F30</f>
        <v>-121.69999999999982</v>
      </c>
      <c r="V30" s="388">
        <f t="shared" si="12"/>
        <v>-121.69999999999982</v>
      </c>
      <c r="W30" s="389" t="e">
        <f t="shared" si="22"/>
        <v>#DIV/0!</v>
      </c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f t="shared" si="21"/>
        <v>18967.6</v>
      </c>
      <c r="F31" s="373">
        <v>21116.75</v>
      </c>
      <c r="G31" s="385">
        <f t="shared" si="11"/>
        <v>2149.1500000000015</v>
      </c>
      <c r="H31" s="387">
        <f t="shared" si="14"/>
        <v>1.1133063750817185</v>
      </c>
      <c r="I31" s="388">
        <f t="shared" si="1"/>
        <v>2149.1500000000015</v>
      </c>
      <c r="J31" s="389">
        <f t="shared" si="19"/>
        <v>1.1133063750817185</v>
      </c>
      <c r="K31" s="299"/>
      <c r="L31" s="299"/>
      <c r="M31" s="299"/>
      <c r="N31" s="388">
        <v>18671.45</v>
      </c>
      <c r="O31" s="388">
        <f t="shared" si="16"/>
        <v>296.1499999999978</v>
      </c>
      <c r="P31" s="389">
        <f t="shared" si="17"/>
        <v>1.0158611141609246</v>
      </c>
      <c r="Q31" s="388">
        <f t="shared" si="5"/>
        <v>18671.45</v>
      </c>
      <c r="R31" s="388">
        <f t="shared" si="6"/>
        <v>2445.2999999999993</v>
      </c>
      <c r="S31" s="389">
        <f t="shared" si="18"/>
        <v>1.1309646545929748</v>
      </c>
      <c r="T31" s="373">
        <f>E31-листопад!E31</f>
        <v>489.8999999999978</v>
      </c>
      <c r="U31" s="373">
        <f>F31-листопад!F31</f>
        <v>111.15999999999985</v>
      </c>
      <c r="V31" s="388"/>
      <c r="W31" s="389">
        <f t="shared" si="22"/>
        <v>22.69034496836096</v>
      </c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f t="shared" si="21"/>
        <v>650</v>
      </c>
      <c r="F32" s="172">
        <v>450.35</v>
      </c>
      <c r="G32" s="253">
        <f t="shared" si="11"/>
        <v>-199.64999999999998</v>
      </c>
      <c r="H32" s="378">
        <f t="shared" si="14"/>
        <v>0.6928461538461539</v>
      </c>
      <c r="I32" s="254">
        <f t="shared" si="1"/>
        <v>-199.64999999999998</v>
      </c>
      <c r="J32" s="305">
        <f t="shared" si="19"/>
        <v>0.6928461538461539</v>
      </c>
      <c r="K32" s="254"/>
      <c r="L32" s="254"/>
      <c r="M32" s="254"/>
      <c r="N32" s="254">
        <v>701.85</v>
      </c>
      <c r="O32" s="254">
        <f t="shared" si="16"/>
        <v>-51.85000000000002</v>
      </c>
      <c r="P32" s="305">
        <f t="shared" si="17"/>
        <v>0.9261238156301204</v>
      </c>
      <c r="Q32" s="174">
        <f t="shared" si="5"/>
        <v>701.85</v>
      </c>
      <c r="R32" s="174">
        <f t="shared" si="6"/>
        <v>-251.5</v>
      </c>
      <c r="S32" s="212">
        <f t="shared" si="18"/>
        <v>0.6416613236446534</v>
      </c>
      <c r="T32" s="195">
        <f>E32-листопад!E32</f>
        <v>5</v>
      </c>
      <c r="U32" s="179">
        <f>F32-листопад!F32</f>
        <v>-6.029999999999973</v>
      </c>
      <c r="V32" s="166">
        <f t="shared" si="12"/>
        <v>-11.029999999999973</v>
      </c>
      <c r="W32" s="305">
        <f>U32/T32</f>
        <v>-1.2059999999999946</v>
      </c>
      <c r="X32" s="364">
        <f t="shared" si="20"/>
        <v>-0.2844624919854669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f t="shared" si="21"/>
        <v>350</v>
      </c>
      <c r="F33" s="140">
        <v>56.11</v>
      </c>
      <c r="G33" s="103">
        <f t="shared" si="11"/>
        <v>-293.89</v>
      </c>
      <c r="H33" s="376">
        <f t="shared" si="14"/>
        <v>0.16031428571428571</v>
      </c>
      <c r="I33" s="104">
        <f t="shared" si="1"/>
        <v>-293.89</v>
      </c>
      <c r="J33" s="109">
        <f t="shared" si="19"/>
        <v>0.16031428571428571</v>
      </c>
      <c r="K33" s="104"/>
      <c r="L33" s="104"/>
      <c r="M33" s="104"/>
      <c r="N33" s="104">
        <v>350.41</v>
      </c>
      <c r="O33" s="104">
        <f t="shared" si="16"/>
        <v>-0.410000000000025</v>
      </c>
      <c r="P33" s="109">
        <f t="shared" si="17"/>
        <v>0.9988299420678632</v>
      </c>
      <c r="Q33" s="104">
        <f t="shared" si="5"/>
        <v>350.41</v>
      </c>
      <c r="R33" s="104">
        <f t="shared" si="6"/>
        <v>-294.3</v>
      </c>
      <c r="S33" s="109">
        <f t="shared" si="18"/>
        <v>0.1601267087126509</v>
      </c>
      <c r="T33" s="105">
        <f>E33-листопад!E33</f>
        <v>0</v>
      </c>
      <c r="U33" s="144">
        <f>F33-листопад!F33</f>
        <v>-10.420000000000002</v>
      </c>
      <c r="V33" s="106">
        <f t="shared" si="12"/>
        <v>-10.420000000000002</v>
      </c>
      <c r="W33" s="109" t="e">
        <f>U33/T33</f>
        <v>#DIV/0!</v>
      </c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f t="shared" si="21"/>
        <v>300</v>
      </c>
      <c r="F34" s="140">
        <v>394.24</v>
      </c>
      <c r="G34" s="103">
        <f t="shared" si="11"/>
        <v>94.24000000000001</v>
      </c>
      <c r="H34" s="376">
        <f t="shared" si="14"/>
        <v>1.3141333333333334</v>
      </c>
      <c r="I34" s="104">
        <f t="shared" si="1"/>
        <v>94.24000000000001</v>
      </c>
      <c r="J34" s="109">
        <f t="shared" si="19"/>
        <v>1.3141333333333334</v>
      </c>
      <c r="K34" s="104"/>
      <c r="L34" s="104"/>
      <c r="M34" s="104"/>
      <c r="N34" s="104">
        <v>351.44</v>
      </c>
      <c r="O34" s="104">
        <f t="shared" si="16"/>
        <v>-51.44</v>
      </c>
      <c r="P34" s="109">
        <f t="shared" si="17"/>
        <v>0.8536307762349192</v>
      </c>
      <c r="Q34" s="104">
        <f t="shared" si="5"/>
        <v>351.44</v>
      </c>
      <c r="R34" s="104">
        <f t="shared" si="6"/>
        <v>42.80000000000001</v>
      </c>
      <c r="S34" s="109">
        <f t="shared" si="18"/>
        <v>1.1217846574095152</v>
      </c>
      <c r="T34" s="105">
        <f>E34-листопад!E34</f>
        <v>5</v>
      </c>
      <c r="U34" s="144">
        <f>F34-листопад!F34</f>
        <v>4.389999999999986</v>
      </c>
      <c r="V34" s="106"/>
      <c r="W34" s="109">
        <f>U34/T34</f>
        <v>0.8779999999999972</v>
      </c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f t="shared" si="21"/>
        <v>183292</v>
      </c>
      <c r="F35" s="172">
        <v>169711.22</v>
      </c>
      <c r="G35" s="150">
        <f t="shared" si="11"/>
        <v>-13580.779999999999</v>
      </c>
      <c r="H35" s="378">
        <f t="shared" si="14"/>
        <v>0.92590631342339</v>
      </c>
      <c r="I35" s="254">
        <f t="shared" si="1"/>
        <v>-13580.779999999999</v>
      </c>
      <c r="J35" s="305">
        <f t="shared" si="19"/>
        <v>0.92590631342339</v>
      </c>
      <c r="K35" s="254"/>
      <c r="L35" s="254"/>
      <c r="M35" s="254"/>
      <c r="N35" s="254">
        <v>160111.04</v>
      </c>
      <c r="O35" s="254">
        <f t="shared" si="16"/>
        <v>23180.959999999992</v>
      </c>
      <c r="P35" s="305">
        <f t="shared" si="17"/>
        <v>1.1447805223175116</v>
      </c>
      <c r="Q35" s="175">
        <f t="shared" si="5"/>
        <v>160111.04</v>
      </c>
      <c r="R35" s="175">
        <f t="shared" si="6"/>
        <v>9600.179999999993</v>
      </c>
      <c r="S35" s="211">
        <f t="shared" si="18"/>
        <v>1.05995951309791</v>
      </c>
      <c r="T35" s="195">
        <f>E35-листопад!E35</f>
        <v>14640</v>
      </c>
      <c r="U35" s="179">
        <f>F35-листопад!F35</f>
        <v>3422.0199999999895</v>
      </c>
      <c r="V35" s="166">
        <f t="shared" si="12"/>
        <v>-11217.98000000001</v>
      </c>
      <c r="W35" s="305">
        <f>U35/T35</f>
        <v>0.23374453551912497</v>
      </c>
      <c r="X35" s="364">
        <f t="shared" si="20"/>
        <v>-0.08482100921960156</v>
      </c>
    </row>
    <row r="36" spans="1:24" s="6" customFormat="1" ht="18" customHeight="1" hidden="1">
      <c r="A36" s="8"/>
      <c r="B36" s="196" t="s">
        <v>111</v>
      </c>
      <c r="C36" s="197"/>
      <c r="D36" s="199">
        <f>D38+D40</f>
        <v>58533</v>
      </c>
      <c r="E36" s="199">
        <f t="shared" si="21"/>
        <v>58533</v>
      </c>
      <c r="F36" s="199">
        <f>F38+F40</f>
        <v>54887.52</v>
      </c>
      <c r="G36" s="223">
        <f t="shared" si="11"/>
        <v>-3645.480000000003</v>
      </c>
      <c r="H36" s="379">
        <f t="shared" si="14"/>
        <v>0.9377192353031623</v>
      </c>
      <c r="I36" s="299">
        <f t="shared" si="1"/>
        <v>-3645.480000000003</v>
      </c>
      <c r="J36" s="341">
        <f t="shared" si="19"/>
        <v>0.9377192353031623</v>
      </c>
      <c r="K36" s="299"/>
      <c r="L36" s="299"/>
      <c r="M36" s="299"/>
      <c r="N36" s="299">
        <v>49911.97</v>
      </c>
      <c r="O36" s="299">
        <f t="shared" si="16"/>
        <v>8621.029999999999</v>
      </c>
      <c r="P36" s="341">
        <f t="shared" si="17"/>
        <v>1.1727246991052447</v>
      </c>
      <c r="Q36" s="200">
        <f t="shared" si="5"/>
        <v>49911.97</v>
      </c>
      <c r="R36" s="200">
        <f t="shared" si="6"/>
        <v>4975.549999999996</v>
      </c>
      <c r="S36" s="228">
        <f t="shared" si="18"/>
        <v>1.0996865080661011</v>
      </c>
      <c r="T36" s="237">
        <f>E36-листопад!E36</f>
        <v>4800</v>
      </c>
      <c r="U36" s="237">
        <f>F36-листопад!F36</f>
        <v>885.4799999999959</v>
      </c>
      <c r="V36" s="299">
        <f t="shared" si="12"/>
        <v>-3914.520000000004</v>
      </c>
      <c r="W36" s="341">
        <f t="shared" si="22"/>
        <v>18.447499999999913</v>
      </c>
      <c r="X36" s="363">
        <f t="shared" si="20"/>
        <v>-0.07303819103914355</v>
      </c>
    </row>
    <row r="37" spans="1:24" s="6" customFormat="1" ht="18" customHeight="1" hidden="1">
      <c r="A37" s="8"/>
      <c r="B37" s="196" t="s">
        <v>112</v>
      </c>
      <c r="C37" s="197"/>
      <c r="D37" s="199">
        <f>D39+D41</f>
        <v>124759</v>
      </c>
      <c r="E37" s="199">
        <f t="shared" si="21"/>
        <v>124759</v>
      </c>
      <c r="F37" s="199">
        <f>F39+F41</f>
        <v>114823.7</v>
      </c>
      <c r="G37" s="223">
        <f t="shared" si="11"/>
        <v>-9935.300000000003</v>
      </c>
      <c r="H37" s="379">
        <f t="shared" si="14"/>
        <v>0.9203640619113651</v>
      </c>
      <c r="I37" s="299">
        <f t="shared" si="1"/>
        <v>-9935.300000000003</v>
      </c>
      <c r="J37" s="341">
        <f t="shared" si="19"/>
        <v>0.9203640619113651</v>
      </c>
      <c r="K37" s="299"/>
      <c r="L37" s="299"/>
      <c r="M37" s="299"/>
      <c r="N37" s="299">
        <v>110199.06</v>
      </c>
      <c r="O37" s="299">
        <f t="shared" si="16"/>
        <v>14559.940000000002</v>
      </c>
      <c r="P37" s="341">
        <f t="shared" si="17"/>
        <v>1.1321239945240913</v>
      </c>
      <c r="Q37" s="200">
        <f t="shared" si="5"/>
        <v>110199.06</v>
      </c>
      <c r="R37" s="200">
        <f t="shared" si="6"/>
        <v>4624.639999999999</v>
      </c>
      <c r="S37" s="228">
        <f t="shared" si="18"/>
        <v>1.0419662381875128</v>
      </c>
      <c r="T37" s="237">
        <f>E37-листопад!E37</f>
        <v>9840</v>
      </c>
      <c r="U37" s="237">
        <f>F37-листопад!F37</f>
        <v>2536.5499999999884</v>
      </c>
      <c r="V37" s="299">
        <f t="shared" si="12"/>
        <v>-7303.450000000012</v>
      </c>
      <c r="W37" s="341">
        <f t="shared" si="22"/>
        <v>25.777947154471427</v>
      </c>
      <c r="X37" s="363">
        <f t="shared" si="20"/>
        <v>-0.09015775633657852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f t="shared" si="21"/>
        <v>54968</v>
      </c>
      <c r="F38" s="373">
        <v>51577.64</v>
      </c>
      <c r="G38" s="385">
        <f t="shared" si="11"/>
        <v>-3390.3600000000006</v>
      </c>
      <c r="H38" s="387">
        <f t="shared" si="14"/>
        <v>0.9383212050647649</v>
      </c>
      <c r="I38" s="388">
        <f t="shared" si="1"/>
        <v>-3390.3600000000006</v>
      </c>
      <c r="J38" s="389">
        <f t="shared" si="19"/>
        <v>0.9383212050647649</v>
      </c>
      <c r="K38" s="299"/>
      <c r="L38" s="299"/>
      <c r="M38" s="299"/>
      <c r="N38" s="388">
        <v>46607.08</v>
      </c>
      <c r="O38" s="388">
        <f t="shared" si="16"/>
        <v>8360.919999999998</v>
      </c>
      <c r="P38" s="389">
        <f t="shared" si="17"/>
        <v>1.1793916289113155</v>
      </c>
      <c r="Q38" s="388">
        <f t="shared" si="5"/>
        <v>46607.08</v>
      </c>
      <c r="R38" s="388">
        <f t="shared" si="6"/>
        <v>4970.559999999998</v>
      </c>
      <c r="S38" s="389">
        <f t="shared" si="18"/>
        <v>1.1066481744833616</v>
      </c>
      <c r="T38" s="373">
        <f>E38-листопад!E38</f>
        <v>4600</v>
      </c>
      <c r="U38" s="373">
        <f>F38-листопад!F38</f>
        <v>808.2299999999959</v>
      </c>
      <c r="V38" s="388">
        <f t="shared" si="12"/>
        <v>-3791.770000000004</v>
      </c>
      <c r="W38" s="389">
        <f t="shared" si="22"/>
        <v>17.57021739130426</v>
      </c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f t="shared" si="21"/>
        <v>103924</v>
      </c>
      <c r="F39" s="373">
        <v>95344.87</v>
      </c>
      <c r="G39" s="385">
        <f t="shared" si="11"/>
        <v>-8579.130000000005</v>
      </c>
      <c r="H39" s="387">
        <f t="shared" si="14"/>
        <v>0.9174480389515415</v>
      </c>
      <c r="I39" s="388">
        <f t="shared" si="1"/>
        <v>-8579.130000000005</v>
      </c>
      <c r="J39" s="389">
        <f t="shared" si="19"/>
        <v>0.9174480389515415</v>
      </c>
      <c r="K39" s="299"/>
      <c r="L39" s="299"/>
      <c r="M39" s="299"/>
      <c r="N39" s="388">
        <v>91357.39</v>
      </c>
      <c r="O39" s="388">
        <f t="shared" si="16"/>
        <v>12566.61</v>
      </c>
      <c r="P39" s="389">
        <f t="shared" si="17"/>
        <v>1.1375543894150215</v>
      </c>
      <c r="Q39" s="388">
        <f t="shared" si="5"/>
        <v>91357.39</v>
      </c>
      <c r="R39" s="388">
        <f t="shared" si="6"/>
        <v>3987.479999999996</v>
      </c>
      <c r="S39" s="389">
        <f t="shared" si="18"/>
        <v>1.0436470437695298</v>
      </c>
      <c r="T39" s="373">
        <f>E39-листопад!E39</f>
        <v>8885</v>
      </c>
      <c r="U39" s="373">
        <f>F39-листопад!F39</f>
        <v>1661.659999999989</v>
      </c>
      <c r="V39" s="388">
        <f t="shared" si="12"/>
        <v>-7223.340000000011</v>
      </c>
      <c r="W39" s="389">
        <f t="shared" si="22"/>
        <v>18.701857062464704</v>
      </c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f t="shared" si="21"/>
        <v>3565</v>
      </c>
      <c r="F40" s="373">
        <v>3309.88</v>
      </c>
      <c r="G40" s="385">
        <f t="shared" si="11"/>
        <v>-255.1199999999999</v>
      </c>
      <c r="H40" s="387">
        <f t="shared" si="14"/>
        <v>0.9284375876577841</v>
      </c>
      <c r="I40" s="388">
        <f t="shared" si="1"/>
        <v>-255.1199999999999</v>
      </c>
      <c r="J40" s="389">
        <f t="shared" si="19"/>
        <v>0.9284375876577841</v>
      </c>
      <c r="K40" s="299"/>
      <c r="L40" s="299"/>
      <c r="M40" s="299"/>
      <c r="N40" s="388">
        <v>3304.89</v>
      </c>
      <c r="O40" s="388">
        <f t="shared" si="16"/>
        <v>260.1100000000001</v>
      </c>
      <c r="P40" s="389">
        <f t="shared" si="17"/>
        <v>1.0787045862343376</v>
      </c>
      <c r="Q40" s="388">
        <f t="shared" si="5"/>
        <v>3304.89</v>
      </c>
      <c r="R40" s="388">
        <f t="shared" si="6"/>
        <v>4.9900000000002365</v>
      </c>
      <c r="S40" s="389">
        <f t="shared" si="18"/>
        <v>1.0015098838387966</v>
      </c>
      <c r="T40" s="373">
        <f>E40-листопад!E40</f>
        <v>200</v>
      </c>
      <c r="U40" s="373">
        <f>F40-листопад!F40</f>
        <v>77.25</v>
      </c>
      <c r="V40" s="388">
        <f t="shared" si="12"/>
        <v>-122.75</v>
      </c>
      <c r="W40" s="389">
        <f t="shared" si="22"/>
        <v>38.625</v>
      </c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f t="shared" si="21"/>
        <v>20835</v>
      </c>
      <c r="F41" s="373">
        <v>19478.83</v>
      </c>
      <c r="G41" s="385">
        <f t="shared" si="11"/>
        <v>-1356.1699999999983</v>
      </c>
      <c r="H41" s="387">
        <f t="shared" si="14"/>
        <v>0.934909047276218</v>
      </c>
      <c r="I41" s="388">
        <f t="shared" si="1"/>
        <v>-1356.1699999999983</v>
      </c>
      <c r="J41" s="389">
        <f t="shared" si="19"/>
        <v>0.934909047276218</v>
      </c>
      <c r="K41" s="299"/>
      <c r="L41" s="299"/>
      <c r="M41" s="299"/>
      <c r="N41" s="388">
        <v>18841.68</v>
      </c>
      <c r="O41" s="388">
        <f t="shared" si="16"/>
        <v>1993.3199999999997</v>
      </c>
      <c r="P41" s="389">
        <f t="shared" si="17"/>
        <v>1.1057931139898354</v>
      </c>
      <c r="Q41" s="388">
        <f t="shared" si="5"/>
        <v>18841.68</v>
      </c>
      <c r="R41" s="388">
        <f t="shared" si="6"/>
        <v>637.1500000000015</v>
      </c>
      <c r="S41" s="389">
        <f t="shared" si="18"/>
        <v>1.0338159866848393</v>
      </c>
      <c r="T41" s="373">
        <f>E41-листопад!E41</f>
        <v>955</v>
      </c>
      <c r="U41" s="373">
        <f>F41-листопад!F41</f>
        <v>874.890000000003</v>
      </c>
      <c r="V41" s="388">
        <f t="shared" si="12"/>
        <v>-80.10999999999694</v>
      </c>
      <c r="W41" s="389">
        <f t="shared" si="22"/>
        <v>91.61151832460766</v>
      </c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f t="shared" si="21"/>
        <v>0</v>
      </c>
      <c r="F42" s="199">
        <v>0.2</v>
      </c>
      <c r="G42" s="150">
        <f t="shared" si="11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6"/>
        <v>-0.15</v>
      </c>
      <c r="P42" s="210">
        <f t="shared" si="17"/>
        <v>0</v>
      </c>
      <c r="Q42" s="167">
        <f t="shared" si="5"/>
        <v>0.15</v>
      </c>
      <c r="R42" s="158">
        <f t="shared" si="6"/>
        <v>0.05000000000000002</v>
      </c>
      <c r="S42" s="210"/>
      <c r="T42" s="157">
        <f>E42-листопад!E42</f>
        <v>0</v>
      </c>
      <c r="U42" s="160">
        <f>F42-листопад!F42</f>
        <v>0</v>
      </c>
      <c r="V42" s="161">
        <f t="shared" si="12"/>
        <v>0</v>
      </c>
      <c r="W42" s="210"/>
      <c r="X42" s="363">
        <f t="shared" si="20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62">
        <f t="shared" si="21"/>
        <v>115</v>
      </c>
      <c r="F43" s="156">
        <v>156.8</v>
      </c>
      <c r="G43" s="150">
        <f t="shared" si="11"/>
        <v>41.80000000000001</v>
      </c>
      <c r="H43" s="375">
        <f>F43/E43</f>
        <v>1.3634782608695653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6"/>
        <v>-2.680000000000007</v>
      </c>
      <c r="P43" s="210">
        <f t="shared" si="17"/>
        <v>0.9772263766145479</v>
      </c>
      <c r="Q43" s="167">
        <f t="shared" si="5"/>
        <v>117.68</v>
      </c>
      <c r="R43" s="158">
        <f t="shared" si="6"/>
        <v>39.120000000000005</v>
      </c>
      <c r="S43" s="210">
        <f aca="true" t="shared" si="23" ref="S43:S51">F43/Q43</f>
        <v>1.3324269204622705</v>
      </c>
      <c r="T43" s="157">
        <f>E43-листопад!E43</f>
        <v>7.5</v>
      </c>
      <c r="U43" s="160">
        <f>F43-листопад!F43</f>
        <v>0</v>
      </c>
      <c r="V43" s="161">
        <f t="shared" si="12"/>
        <v>-7.5</v>
      </c>
      <c r="W43" s="210">
        <f>U43/T43</f>
        <v>0</v>
      </c>
      <c r="X43" s="363">
        <f t="shared" si="20"/>
        <v>0.3552005438477226</v>
      </c>
    </row>
    <row r="44" spans="1:24" s="6" customFormat="1" ht="15" hidden="1">
      <c r="A44" s="8"/>
      <c r="B44" s="50" t="s">
        <v>277</v>
      </c>
      <c r="C44" s="102">
        <v>18031000</v>
      </c>
      <c r="D44" s="103">
        <v>52</v>
      </c>
      <c r="E44" s="103">
        <f t="shared" si="21"/>
        <v>52</v>
      </c>
      <c r="F44" s="140">
        <v>95.14</v>
      </c>
      <c r="G44" s="103">
        <f t="shared" si="11"/>
        <v>43.14</v>
      </c>
      <c r="H44" s="376">
        <f>F44/E44</f>
        <v>1.8296153846153846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6"/>
        <v>-1.5499999999999972</v>
      </c>
      <c r="P44" s="109">
        <f t="shared" si="17"/>
        <v>0.9710550887021476</v>
      </c>
      <c r="Q44" s="104">
        <f t="shared" si="5"/>
        <v>53.55</v>
      </c>
      <c r="R44" s="104">
        <f t="shared" si="6"/>
        <v>41.59</v>
      </c>
      <c r="S44" s="109">
        <f t="shared" si="23"/>
        <v>1.7766573295985062</v>
      </c>
      <c r="T44" s="105">
        <f>E44-листопад!E44</f>
        <v>3.5</v>
      </c>
      <c r="U44" s="144">
        <f>F44-листопад!F44</f>
        <v>0</v>
      </c>
      <c r="V44" s="106">
        <f t="shared" si="12"/>
        <v>-3.5</v>
      </c>
      <c r="W44" s="109">
        <f>U44/T44</f>
        <v>0</v>
      </c>
      <c r="X44" s="363"/>
    </row>
    <row r="45" spans="1:24" s="6" customFormat="1" ht="15" hidden="1">
      <c r="A45" s="8"/>
      <c r="B45" s="50" t="s">
        <v>278</v>
      </c>
      <c r="C45" s="102">
        <v>18031100</v>
      </c>
      <c r="D45" s="103">
        <v>63</v>
      </c>
      <c r="E45" s="103">
        <f t="shared" si="21"/>
        <v>63</v>
      </c>
      <c r="F45" s="140">
        <v>61.66</v>
      </c>
      <c r="G45" s="103">
        <f t="shared" si="11"/>
        <v>-1.3400000000000034</v>
      </c>
      <c r="H45" s="376">
        <f>F45/E45</f>
        <v>0.9787301587301587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6"/>
        <v>-1.1400000000000006</v>
      </c>
      <c r="P45" s="109">
        <f t="shared" si="17"/>
        <v>0.9822263797942001</v>
      </c>
      <c r="Q45" s="104">
        <f t="shared" si="5"/>
        <v>64.14</v>
      </c>
      <c r="R45" s="104">
        <f t="shared" si="6"/>
        <v>-2.480000000000004</v>
      </c>
      <c r="S45" s="109">
        <f t="shared" si="23"/>
        <v>0.9613345806049267</v>
      </c>
      <c r="T45" s="105">
        <f>E45-листопад!E45</f>
        <v>4</v>
      </c>
      <c r="U45" s="144">
        <f>F45-листопад!F45</f>
        <v>0</v>
      </c>
      <c r="V45" s="106">
        <f t="shared" si="12"/>
        <v>-4</v>
      </c>
      <c r="W45" s="109">
        <f>U45/T45</f>
        <v>0</v>
      </c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-45.42</v>
      </c>
      <c r="G46" s="150">
        <f t="shared" si="11"/>
        <v>-45.42</v>
      </c>
      <c r="H46" s="375"/>
      <c r="I46" s="158">
        <f t="shared" si="1"/>
        <v>-45.42</v>
      </c>
      <c r="J46" s="210"/>
      <c r="K46" s="158"/>
      <c r="L46" s="158"/>
      <c r="M46" s="158"/>
      <c r="N46" s="158">
        <v>-177.97</v>
      </c>
      <c r="O46" s="158">
        <f t="shared" si="16"/>
        <v>177.97</v>
      </c>
      <c r="P46" s="210">
        <f t="shared" si="17"/>
        <v>0</v>
      </c>
      <c r="Q46" s="158">
        <f t="shared" si="5"/>
        <v>-177.97</v>
      </c>
      <c r="R46" s="158">
        <f t="shared" si="6"/>
        <v>132.55</v>
      </c>
      <c r="S46" s="210">
        <f t="shared" si="23"/>
        <v>0.2552115525088498</v>
      </c>
      <c r="T46" s="157">
        <f>E46-листопад!E46</f>
        <v>0</v>
      </c>
      <c r="U46" s="160">
        <f>F46-листопад!F46</f>
        <v>-2.539999999999999</v>
      </c>
      <c r="V46" s="161">
        <f t="shared" si="12"/>
        <v>-2.539999999999999</v>
      </c>
      <c r="W46" s="210"/>
      <c r="X46" s="363">
        <f t="shared" si="20"/>
        <v>0.2552115525088498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f aca="true" t="shared" si="24" ref="E47:E52">D47</f>
        <v>194394.1</v>
      </c>
      <c r="F47" s="163">
        <v>218774.77</v>
      </c>
      <c r="G47" s="150">
        <f t="shared" si="11"/>
        <v>24380.669999999984</v>
      </c>
      <c r="H47" s="375">
        <f>F47/E47*100</f>
        <v>112.54187755698347</v>
      </c>
      <c r="I47" s="158">
        <f t="shared" si="1"/>
        <v>24380.669999999984</v>
      </c>
      <c r="J47" s="210">
        <f>F47/D47</f>
        <v>1.1254187755698346</v>
      </c>
      <c r="K47" s="158"/>
      <c r="L47" s="158"/>
      <c r="M47" s="158"/>
      <c r="N47" s="158">
        <v>158268.6</v>
      </c>
      <c r="O47" s="158">
        <f t="shared" si="16"/>
        <v>36125.5</v>
      </c>
      <c r="P47" s="210">
        <f t="shared" si="17"/>
        <v>1.2282543726298205</v>
      </c>
      <c r="Q47" s="178">
        <f t="shared" si="5"/>
        <v>158268.6</v>
      </c>
      <c r="R47" s="178">
        <f t="shared" si="6"/>
        <v>60506.169999999984</v>
      </c>
      <c r="S47" s="226">
        <f t="shared" si="23"/>
        <v>1.382300532133348</v>
      </c>
      <c r="T47" s="157">
        <f>E47-листопад!E47</f>
        <v>6639.100000000006</v>
      </c>
      <c r="U47" s="160">
        <f>F47-листопад!F47</f>
        <v>5974.0199999999895</v>
      </c>
      <c r="V47" s="161">
        <f t="shared" si="12"/>
        <v>-665.0800000000163</v>
      </c>
      <c r="W47" s="210">
        <f>U47/T47</f>
        <v>0.8998237712942996</v>
      </c>
      <c r="X47" s="363">
        <f t="shared" si="20"/>
        <v>0.1540461595035274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f t="shared" si="24"/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6"/>
        <v>-0.23</v>
      </c>
      <c r="P48" s="109">
        <f t="shared" si="17"/>
        <v>0</v>
      </c>
      <c r="Q48" s="127">
        <f t="shared" si="5"/>
        <v>0.23</v>
      </c>
      <c r="R48" s="127">
        <f t="shared" si="6"/>
        <v>-0.22</v>
      </c>
      <c r="S48" s="216">
        <f t="shared" si="23"/>
        <v>0.043478260869565216</v>
      </c>
      <c r="T48" s="105">
        <f>E48-листопад!E48</f>
        <v>0</v>
      </c>
      <c r="U48" s="144">
        <f>F48-листопад!F48</f>
        <v>0</v>
      </c>
      <c r="V48" s="106">
        <f t="shared" si="12"/>
        <v>0</v>
      </c>
      <c r="W48" s="109"/>
      <c r="X48" s="363">
        <f t="shared" si="20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f t="shared" si="24"/>
        <v>41000</v>
      </c>
      <c r="F49" s="140">
        <v>44027</v>
      </c>
      <c r="G49" s="103">
        <f>F49-E49</f>
        <v>3027</v>
      </c>
      <c r="H49" s="376">
        <f>F49/E49</f>
        <v>1.0738292682926829</v>
      </c>
      <c r="I49" s="104">
        <f t="shared" si="1"/>
        <v>3027</v>
      </c>
      <c r="J49" s="109">
        <f>F49/D49</f>
        <v>1.0738292682926829</v>
      </c>
      <c r="K49" s="104"/>
      <c r="L49" s="104"/>
      <c r="M49" s="104"/>
      <c r="N49" s="104">
        <v>39173.72</v>
      </c>
      <c r="O49" s="104">
        <f t="shared" si="16"/>
        <v>1826.2799999999988</v>
      </c>
      <c r="P49" s="109">
        <f t="shared" si="17"/>
        <v>1.0466200299588602</v>
      </c>
      <c r="Q49" s="127">
        <f t="shared" si="5"/>
        <v>39173.72</v>
      </c>
      <c r="R49" s="127">
        <f t="shared" si="6"/>
        <v>4853.279999999999</v>
      </c>
      <c r="S49" s="216">
        <f t="shared" si="23"/>
        <v>1.1238912209511887</v>
      </c>
      <c r="T49" s="105">
        <f>E49-листопад!E49</f>
        <v>1500</v>
      </c>
      <c r="U49" s="144">
        <f>F49-листопад!F49</f>
        <v>712.8899999999994</v>
      </c>
      <c r="V49" s="106">
        <f t="shared" si="12"/>
        <v>-787.1100000000006</v>
      </c>
      <c r="W49" s="109">
        <f>U49/T49</f>
        <v>0.4752599999999996</v>
      </c>
      <c r="X49" s="363">
        <f t="shared" si="20"/>
        <v>0.07727119099232849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f t="shared" si="24"/>
        <v>153339.1</v>
      </c>
      <c r="F50" s="140">
        <v>174682.79</v>
      </c>
      <c r="G50" s="103">
        <f>F50-E50</f>
        <v>21343.690000000002</v>
      </c>
      <c r="H50" s="376">
        <f>F50/E50</f>
        <v>1.139192743403346</v>
      </c>
      <c r="I50" s="104">
        <f t="shared" si="1"/>
        <v>21343.690000000002</v>
      </c>
      <c r="J50" s="109">
        <f>F50/D50</f>
        <v>1.139192743403346</v>
      </c>
      <c r="K50" s="104"/>
      <c r="L50" s="104"/>
      <c r="M50" s="104"/>
      <c r="N50" s="104">
        <v>119039.46</v>
      </c>
      <c r="O50" s="104">
        <f t="shared" si="16"/>
        <v>34299.64</v>
      </c>
      <c r="P50" s="109">
        <f t="shared" si="17"/>
        <v>1.2881367237384982</v>
      </c>
      <c r="Q50" s="127">
        <f t="shared" si="5"/>
        <v>119039.46</v>
      </c>
      <c r="R50" s="127">
        <f t="shared" si="6"/>
        <v>55643.33</v>
      </c>
      <c r="S50" s="216">
        <f t="shared" si="23"/>
        <v>1.4674360081942577</v>
      </c>
      <c r="T50" s="105">
        <f>E50-листопад!E50</f>
        <v>5139.100000000006</v>
      </c>
      <c r="U50" s="144">
        <f>F50-листопад!F50</f>
        <v>5261.140000000014</v>
      </c>
      <c r="V50" s="106">
        <f t="shared" si="12"/>
        <v>122.04000000000815</v>
      </c>
      <c r="W50" s="109">
        <f>U50/T50</f>
        <v>1.0237473487575661</v>
      </c>
      <c r="X50" s="363">
        <f t="shared" si="20"/>
        <v>0.1792992844557595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f t="shared" si="24"/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6"/>
        <v>-0.17999999999999972</v>
      </c>
      <c r="P51" s="109">
        <f t="shared" si="17"/>
        <v>0.9967379485320769</v>
      </c>
      <c r="Q51" s="127">
        <f t="shared" si="5"/>
        <v>55.18</v>
      </c>
      <c r="R51" s="127">
        <f t="shared" si="6"/>
        <v>9.79</v>
      </c>
      <c r="S51" s="216">
        <f t="shared" si="23"/>
        <v>1.1774193548387097</v>
      </c>
      <c r="T51" s="105">
        <f>E51-листопад!E51</f>
        <v>0</v>
      </c>
      <c r="U51" s="144">
        <f>F51-листопад!F51</f>
        <v>0</v>
      </c>
      <c r="V51" s="106">
        <f t="shared" si="12"/>
        <v>0</v>
      </c>
      <c r="W51" s="109"/>
      <c r="X51" s="363">
        <f t="shared" si="20"/>
        <v>0.18068140630663287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f t="shared" si="24"/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6"/>
        <v>0</v>
      </c>
      <c r="S52" s="217"/>
      <c r="T52" s="137">
        <f>E52-листопад!E52</f>
        <v>0</v>
      </c>
      <c r="U52" s="145">
        <f>F52-листопад!F52</f>
        <v>0</v>
      </c>
      <c r="V52" s="161">
        <f t="shared" si="12"/>
        <v>0</v>
      </c>
      <c r="W52" s="94"/>
      <c r="X52" s="363">
        <f t="shared" si="20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63295</v>
      </c>
      <c r="F53" s="151">
        <f>F54+F55+F56+F57+F58+F60+F62+F63+F64+F65+F66+F71+F72+F76+F59+F61</f>
        <v>67079.18</v>
      </c>
      <c r="G53" s="151">
        <f>G54+G55+G56+G57+G58+G60+G62+G63+G64+G65+G66+G71+G72+G76+G59+G61</f>
        <v>3784.179999999998</v>
      </c>
      <c r="H53" s="205">
        <f aca="true" t="shared" si="25" ref="H53:H72">F53/E53</f>
        <v>1.0597863970297812</v>
      </c>
      <c r="I53" s="153">
        <f>F53-D53</f>
        <v>3784.179999999993</v>
      </c>
      <c r="J53" s="219">
        <f aca="true" t="shared" si="26" ref="J53:J72">F53/D53</f>
        <v>1.0597863970297812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f>N53</f>
        <v>68752.68</v>
      </c>
      <c r="R53" s="151">
        <f t="shared" si="6"/>
        <v>-1673.5</v>
      </c>
      <c r="S53" s="205">
        <f>F53/Q53</f>
        <v>0.9756591306695245</v>
      </c>
      <c r="T53" s="151">
        <f>T54+T55+T56+T57+T58+T60+T62+T63+T64+T65+T66+T71+T72+T76+T59+T61</f>
        <v>1117.1</v>
      </c>
      <c r="U53" s="151">
        <f>U54+U55+U56+U57+U58+U60+U62+U63+U64+U65+U66+U71+U72+U76+U59+U61</f>
        <v>4389.25</v>
      </c>
      <c r="V53" s="151">
        <f>V54+V55+V56+V57+V58+V60+V62+V63+V64+V65+V66+V71+V72+V76</f>
        <v>3277.75</v>
      </c>
      <c r="W53" s="205">
        <f>U53/T53</f>
        <v>3.929146898218602</v>
      </c>
      <c r="X53" s="363">
        <f t="shared" si="20"/>
        <v>0.05504047260412237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f>D54</f>
        <v>580</v>
      </c>
      <c r="F54" s="156">
        <v>2633.96</v>
      </c>
      <c r="G54" s="150">
        <f aca="true" t="shared" si="27" ref="G54:G78">F54-E54</f>
        <v>2053.96</v>
      </c>
      <c r="H54" s="380">
        <f t="shared" si="25"/>
        <v>4.541310344827586</v>
      </c>
      <c r="I54" s="165">
        <f>F54-D54</f>
        <v>2053.96</v>
      </c>
      <c r="J54" s="218">
        <f t="shared" si="26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f>N54</f>
        <v>551.04</v>
      </c>
      <c r="R54" s="165">
        <f t="shared" si="6"/>
        <v>2082.92</v>
      </c>
      <c r="S54" s="218">
        <f>F54/Q54</f>
        <v>4.779979674796748</v>
      </c>
      <c r="T54" s="157">
        <f>E54-листопад!E54</f>
        <v>0</v>
      </c>
      <c r="U54" s="160">
        <f>F54-листопад!F54</f>
        <v>0</v>
      </c>
      <c r="V54" s="161">
        <f aca="true" t="shared" si="28" ref="V54:V78">U54-T54</f>
        <v>0</v>
      </c>
      <c r="W54" s="218" t="e">
        <f>U54/T54</f>
        <v>#DIV/0!</v>
      </c>
      <c r="X54" s="363">
        <f t="shared" si="20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f aca="true" t="shared" si="29" ref="E55:E65">D55</f>
        <v>26400</v>
      </c>
      <c r="F55" s="156">
        <v>26841.48</v>
      </c>
      <c r="G55" s="150">
        <f t="shared" si="27"/>
        <v>441.47999999999956</v>
      </c>
      <c r="H55" s="380">
        <f t="shared" si="25"/>
        <v>1.0167227272727273</v>
      </c>
      <c r="I55" s="165">
        <f aca="true" t="shared" si="30" ref="I55:I78">F55-D55</f>
        <v>441.47999999999956</v>
      </c>
      <c r="J55" s="218">
        <f t="shared" si="26"/>
        <v>1.0167227272727273</v>
      </c>
      <c r="K55" s="165"/>
      <c r="L55" s="165"/>
      <c r="M55" s="165"/>
      <c r="N55" s="165">
        <v>36136.57</v>
      </c>
      <c r="O55" s="165">
        <f aca="true" t="shared" si="31" ref="O55:O72">D55-N55</f>
        <v>-9736.57</v>
      </c>
      <c r="P55" s="218">
        <f aca="true" t="shared" si="32" ref="P55:P72">D55/N55</f>
        <v>0.7305618657221756</v>
      </c>
      <c r="Q55" s="165">
        <f aca="true" t="shared" si="33" ref="Q55:Q66">N55</f>
        <v>36136.57</v>
      </c>
      <c r="R55" s="165">
        <f t="shared" si="6"/>
        <v>-9295.09</v>
      </c>
      <c r="S55" s="218">
        <f aca="true" t="shared" si="34" ref="S55:S78">F55/Q55</f>
        <v>0.7427788525585024</v>
      </c>
      <c r="T55" s="157">
        <f>E55-листопад!E55</f>
        <v>0</v>
      </c>
      <c r="U55" s="160">
        <f>F55-листопад!F55</f>
        <v>2151.34</v>
      </c>
      <c r="V55" s="161">
        <f t="shared" si="28"/>
        <v>2151.34</v>
      </c>
      <c r="W55" s="218" t="e">
        <f aca="true" t="shared" si="35" ref="W55:W77">U55/T55</f>
        <v>#DIV/0!</v>
      </c>
      <c r="X55" s="363">
        <f t="shared" si="20"/>
        <v>0.01221698683632677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f t="shared" si="29"/>
        <v>40</v>
      </c>
      <c r="F56" s="156">
        <v>153.3</v>
      </c>
      <c r="G56" s="150">
        <f t="shared" si="27"/>
        <v>113.30000000000001</v>
      </c>
      <c r="H56" s="380">
        <f t="shared" si="25"/>
        <v>3.8325000000000005</v>
      </c>
      <c r="I56" s="165">
        <f t="shared" si="30"/>
        <v>113.30000000000001</v>
      </c>
      <c r="J56" s="218">
        <f t="shared" si="26"/>
        <v>3.8325000000000005</v>
      </c>
      <c r="K56" s="165"/>
      <c r="L56" s="165"/>
      <c r="M56" s="165"/>
      <c r="N56" s="165">
        <v>31.98</v>
      </c>
      <c r="O56" s="165">
        <f t="shared" si="31"/>
        <v>8.02</v>
      </c>
      <c r="P56" s="218">
        <f t="shared" si="32"/>
        <v>1.2507817385866167</v>
      </c>
      <c r="Q56" s="165">
        <f t="shared" si="33"/>
        <v>31.98</v>
      </c>
      <c r="R56" s="165">
        <f t="shared" si="6"/>
        <v>121.32000000000001</v>
      </c>
      <c r="S56" s="218">
        <f t="shared" si="34"/>
        <v>4.793621013133208</v>
      </c>
      <c r="T56" s="157">
        <f>E56-листопад!E56</f>
        <v>13</v>
      </c>
      <c r="U56" s="160">
        <f>F56-листопад!F56</f>
        <v>10</v>
      </c>
      <c r="V56" s="161">
        <f t="shared" si="28"/>
        <v>-3</v>
      </c>
      <c r="W56" s="218">
        <f t="shared" si="35"/>
        <v>0.7692307692307693</v>
      </c>
      <c r="X56" s="363">
        <f t="shared" si="20"/>
        <v>3.5428392745465915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f t="shared" si="29"/>
        <v>13</v>
      </c>
      <c r="F57" s="156">
        <v>12.95</v>
      </c>
      <c r="G57" s="150">
        <f t="shared" si="27"/>
        <v>-0.05000000000000071</v>
      </c>
      <c r="H57" s="380">
        <f t="shared" si="25"/>
        <v>0.9961538461538461</v>
      </c>
      <c r="I57" s="165">
        <f t="shared" si="30"/>
        <v>-0.05000000000000071</v>
      </c>
      <c r="J57" s="218">
        <f t="shared" si="26"/>
        <v>0.9961538461538461</v>
      </c>
      <c r="K57" s="165"/>
      <c r="L57" s="165"/>
      <c r="M57" s="165"/>
      <c r="N57" s="165">
        <v>0.1</v>
      </c>
      <c r="O57" s="165">
        <f t="shared" si="31"/>
        <v>12.9</v>
      </c>
      <c r="P57" s="392">
        <f t="shared" si="32"/>
        <v>130</v>
      </c>
      <c r="Q57" s="165">
        <f t="shared" si="33"/>
        <v>0.1</v>
      </c>
      <c r="R57" s="165">
        <f t="shared" si="6"/>
        <v>12.85</v>
      </c>
      <c r="S57" s="218"/>
      <c r="T57" s="157">
        <f>E57-листопад!E57</f>
        <v>0</v>
      </c>
      <c r="U57" s="160">
        <f>F57-листопад!F57</f>
        <v>0</v>
      </c>
      <c r="V57" s="161">
        <f t="shared" si="28"/>
        <v>0</v>
      </c>
      <c r="W57" s="218" t="e">
        <f t="shared" si="35"/>
        <v>#DIV/0!</v>
      </c>
      <c r="X57" s="363">
        <f t="shared" si="20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f t="shared" si="29"/>
        <v>660</v>
      </c>
      <c r="F58" s="156">
        <v>688.65</v>
      </c>
      <c r="G58" s="150">
        <f t="shared" si="27"/>
        <v>28.649999999999977</v>
      </c>
      <c r="H58" s="380">
        <f t="shared" si="25"/>
        <v>1.043409090909091</v>
      </c>
      <c r="I58" s="165">
        <f t="shared" si="30"/>
        <v>28.649999999999977</v>
      </c>
      <c r="J58" s="218">
        <f t="shared" si="26"/>
        <v>1.043409090909091</v>
      </c>
      <c r="K58" s="165"/>
      <c r="L58" s="165"/>
      <c r="M58" s="165"/>
      <c r="N58" s="165">
        <v>241.07</v>
      </c>
      <c r="O58" s="165">
        <f t="shared" si="31"/>
        <v>418.93</v>
      </c>
      <c r="P58" s="218">
        <f t="shared" si="32"/>
        <v>2.7377940017422326</v>
      </c>
      <c r="Q58" s="165">
        <f t="shared" si="33"/>
        <v>241.07</v>
      </c>
      <c r="R58" s="165">
        <f t="shared" si="6"/>
        <v>447.58</v>
      </c>
      <c r="S58" s="218">
        <f t="shared" si="34"/>
        <v>2.856639150454225</v>
      </c>
      <c r="T58" s="157">
        <f>E58-листопад!E58</f>
        <v>22</v>
      </c>
      <c r="U58" s="160">
        <f>F58-листопад!F58</f>
        <v>18.049999999999955</v>
      </c>
      <c r="V58" s="161">
        <f t="shared" si="28"/>
        <v>-3.9500000000000455</v>
      </c>
      <c r="W58" s="218">
        <f t="shared" si="35"/>
        <v>0.8204545454545434</v>
      </c>
      <c r="X58" s="363">
        <f t="shared" si="20"/>
        <v>0.11884514871199237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f t="shared" si="29"/>
        <v>97.5</v>
      </c>
      <c r="F59" s="156">
        <v>108.65</v>
      </c>
      <c r="G59" s="150">
        <f t="shared" si="27"/>
        <v>11.150000000000006</v>
      </c>
      <c r="H59" s="380">
        <f t="shared" si="25"/>
        <v>1.1143589743589744</v>
      </c>
      <c r="I59" s="165">
        <f t="shared" si="30"/>
        <v>11.150000000000006</v>
      </c>
      <c r="J59" s="218">
        <f t="shared" si="26"/>
        <v>1.1143589743589744</v>
      </c>
      <c r="K59" s="165"/>
      <c r="L59" s="165"/>
      <c r="M59" s="165"/>
      <c r="N59" s="165">
        <v>86.37</v>
      </c>
      <c r="O59" s="165">
        <f t="shared" si="31"/>
        <v>11.129999999999995</v>
      </c>
      <c r="P59" s="218">
        <f t="shared" si="32"/>
        <v>1.1288641889544981</v>
      </c>
      <c r="Q59" s="165">
        <f t="shared" si="33"/>
        <v>86.37</v>
      </c>
      <c r="R59" s="165">
        <f t="shared" si="6"/>
        <v>22.28</v>
      </c>
      <c r="S59" s="218">
        <f t="shared" si="34"/>
        <v>1.2579599397939099</v>
      </c>
      <c r="T59" s="157">
        <f>E59-листопад!E59</f>
        <v>9.099999999999994</v>
      </c>
      <c r="U59" s="160">
        <f>F59-листопад!F59</f>
        <v>3.5</v>
      </c>
      <c r="V59" s="161">
        <f t="shared" si="28"/>
        <v>-5.599999999999994</v>
      </c>
      <c r="W59" s="218">
        <f t="shared" si="35"/>
        <v>0.38461538461538486</v>
      </c>
      <c r="X59" s="363">
        <f t="shared" si="20"/>
        <v>0.12909575083941172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f t="shared" si="29"/>
        <v>980</v>
      </c>
      <c r="F60" s="156">
        <v>1157.04</v>
      </c>
      <c r="G60" s="150">
        <f t="shared" si="27"/>
        <v>177.03999999999996</v>
      </c>
      <c r="H60" s="380">
        <f t="shared" si="25"/>
        <v>1.1806530612244897</v>
      </c>
      <c r="I60" s="165">
        <f t="shared" si="30"/>
        <v>177.03999999999996</v>
      </c>
      <c r="J60" s="218">
        <f t="shared" si="26"/>
        <v>1.1806530612244897</v>
      </c>
      <c r="K60" s="165"/>
      <c r="L60" s="165"/>
      <c r="M60" s="165"/>
      <c r="N60" s="165">
        <v>791.33</v>
      </c>
      <c r="O60" s="165">
        <f t="shared" si="31"/>
        <v>188.66999999999996</v>
      </c>
      <c r="P60" s="218">
        <f t="shared" si="32"/>
        <v>1.238421391834001</v>
      </c>
      <c r="Q60" s="165">
        <f t="shared" si="33"/>
        <v>791.33</v>
      </c>
      <c r="R60" s="165">
        <f t="shared" si="6"/>
        <v>365.7099999999999</v>
      </c>
      <c r="S60" s="218">
        <f t="shared" si="34"/>
        <v>1.4621460073547066</v>
      </c>
      <c r="T60" s="157">
        <f>E60-листопад!E60</f>
        <v>20</v>
      </c>
      <c r="U60" s="160">
        <f>F60-листопад!F60</f>
        <v>59.88999999999987</v>
      </c>
      <c r="V60" s="161">
        <f t="shared" si="28"/>
        <v>39.88999999999987</v>
      </c>
      <c r="W60" s="218">
        <f t="shared" si="35"/>
        <v>2.9944999999999937</v>
      </c>
      <c r="X60" s="363">
        <f t="shared" si="20"/>
        <v>0.22372461552070555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f t="shared" si="29"/>
        <v>23</v>
      </c>
      <c r="F61" s="156">
        <v>23.38</v>
      </c>
      <c r="G61" s="150">
        <f t="shared" si="27"/>
        <v>0.379999999999999</v>
      </c>
      <c r="H61" s="380">
        <f t="shared" si="25"/>
        <v>1.0165217391304346</v>
      </c>
      <c r="I61" s="165">
        <f t="shared" si="30"/>
        <v>0.379999999999999</v>
      </c>
      <c r="J61" s="218">
        <f t="shared" si="26"/>
        <v>1.0165217391304346</v>
      </c>
      <c r="K61" s="165"/>
      <c r="L61" s="165"/>
      <c r="M61" s="165"/>
      <c r="N61" s="165">
        <v>0</v>
      </c>
      <c r="O61" s="165">
        <f t="shared" si="31"/>
        <v>23</v>
      </c>
      <c r="P61" s="218" t="e">
        <f t="shared" si="32"/>
        <v>#DIV/0!</v>
      </c>
      <c r="Q61" s="165">
        <f t="shared" si="33"/>
        <v>0</v>
      </c>
      <c r="R61" s="165">
        <f t="shared" si="6"/>
        <v>23.38</v>
      </c>
      <c r="S61" s="218"/>
      <c r="T61" s="157">
        <f>E61-листопад!E61</f>
        <v>0</v>
      </c>
      <c r="U61" s="160">
        <f>F61-листопад!F61</f>
        <v>0</v>
      </c>
      <c r="V61" s="161">
        <f t="shared" si="28"/>
        <v>0</v>
      </c>
      <c r="W61" s="218" t="e">
        <f t="shared" si="35"/>
        <v>#DIV/0!</v>
      </c>
      <c r="X61" s="363" t="e">
        <f t="shared" si="20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v>19000</v>
      </c>
      <c r="E62" s="150">
        <f t="shared" si="29"/>
        <v>19000</v>
      </c>
      <c r="F62" s="156">
        <v>19457.76</v>
      </c>
      <c r="G62" s="150">
        <f t="shared" si="27"/>
        <v>457.7599999999984</v>
      </c>
      <c r="H62" s="380">
        <f t="shared" si="25"/>
        <v>1.0240926315789474</v>
      </c>
      <c r="I62" s="165">
        <f t="shared" si="30"/>
        <v>457.7599999999984</v>
      </c>
      <c r="J62" s="218">
        <f t="shared" si="26"/>
        <v>1.0240926315789474</v>
      </c>
      <c r="K62" s="165"/>
      <c r="L62" s="165"/>
      <c r="M62" s="165"/>
      <c r="N62" s="165">
        <v>11422.5</v>
      </c>
      <c r="O62" s="165">
        <f t="shared" si="31"/>
        <v>7577.5</v>
      </c>
      <c r="P62" s="218">
        <f t="shared" si="32"/>
        <v>1.663383672576056</v>
      </c>
      <c r="Q62" s="165">
        <f t="shared" si="33"/>
        <v>11422.5</v>
      </c>
      <c r="R62" s="165">
        <f t="shared" si="6"/>
        <v>8035.259999999998</v>
      </c>
      <c r="S62" s="218">
        <f t="shared" si="34"/>
        <v>1.7034589625738672</v>
      </c>
      <c r="T62" s="157">
        <f>E62-листопад!E62</f>
        <v>700</v>
      </c>
      <c r="U62" s="160">
        <f>F62-листопад!F62</f>
        <v>1016.4099999999999</v>
      </c>
      <c r="V62" s="161">
        <f t="shared" si="28"/>
        <v>316.40999999999985</v>
      </c>
      <c r="W62" s="218">
        <f t="shared" si="35"/>
        <v>1.4520142857142855</v>
      </c>
      <c r="X62" s="363">
        <f t="shared" si="20"/>
        <v>0.04007528999781118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f t="shared" si="29"/>
        <v>530</v>
      </c>
      <c r="F63" s="156">
        <v>682.96</v>
      </c>
      <c r="G63" s="150">
        <f t="shared" si="27"/>
        <v>152.96000000000004</v>
      </c>
      <c r="H63" s="380">
        <f t="shared" si="25"/>
        <v>1.2886037735849056</v>
      </c>
      <c r="I63" s="165">
        <f t="shared" si="30"/>
        <v>152.96000000000004</v>
      </c>
      <c r="J63" s="218">
        <f t="shared" si="26"/>
        <v>1.2886037735849056</v>
      </c>
      <c r="K63" s="165"/>
      <c r="L63" s="165"/>
      <c r="M63" s="165"/>
      <c r="N63" s="165">
        <v>323.25</v>
      </c>
      <c r="O63" s="165">
        <f t="shared" si="31"/>
        <v>206.75</v>
      </c>
      <c r="P63" s="218">
        <f t="shared" si="32"/>
        <v>1.639597834493426</v>
      </c>
      <c r="Q63" s="165">
        <f t="shared" si="33"/>
        <v>323.25</v>
      </c>
      <c r="R63" s="165">
        <f t="shared" si="6"/>
        <v>359.71000000000004</v>
      </c>
      <c r="S63" s="218">
        <f t="shared" si="34"/>
        <v>2.1127919566898687</v>
      </c>
      <c r="T63" s="157">
        <f>E63-листопад!E63</f>
        <v>25</v>
      </c>
      <c r="U63" s="160">
        <f>F63-листопад!F63</f>
        <v>69.78000000000009</v>
      </c>
      <c r="V63" s="161">
        <f t="shared" si="28"/>
        <v>44.780000000000086</v>
      </c>
      <c r="W63" s="218">
        <f t="shared" si="35"/>
        <v>2.7912000000000035</v>
      </c>
      <c r="X63" s="363">
        <f t="shared" si="20"/>
        <v>0.47319412219644263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f t="shared" si="29"/>
        <v>20</v>
      </c>
      <c r="F64" s="156">
        <v>38.08</v>
      </c>
      <c r="G64" s="150">
        <f t="shared" si="27"/>
        <v>18.08</v>
      </c>
      <c r="H64" s="380">
        <f t="shared" si="25"/>
        <v>1.904</v>
      </c>
      <c r="I64" s="165">
        <f t="shared" si="30"/>
        <v>18.08</v>
      </c>
      <c r="J64" s="218">
        <f t="shared" si="26"/>
        <v>1.904</v>
      </c>
      <c r="K64" s="165"/>
      <c r="L64" s="165"/>
      <c r="M64" s="165"/>
      <c r="N64" s="165">
        <v>22.36</v>
      </c>
      <c r="O64" s="165">
        <f t="shared" si="31"/>
        <v>-2.3599999999999994</v>
      </c>
      <c r="P64" s="218">
        <f t="shared" si="32"/>
        <v>0.8944543828264758</v>
      </c>
      <c r="Q64" s="165">
        <f t="shared" si="33"/>
        <v>22.36</v>
      </c>
      <c r="R64" s="165">
        <f t="shared" si="6"/>
        <v>15.719999999999999</v>
      </c>
      <c r="S64" s="218">
        <f t="shared" si="34"/>
        <v>1.70304114490161</v>
      </c>
      <c r="T64" s="157">
        <f>E64-листопад!E64</f>
        <v>1</v>
      </c>
      <c r="U64" s="160">
        <f>F64-листопад!F64</f>
        <v>0</v>
      </c>
      <c r="V64" s="161">
        <f t="shared" si="28"/>
        <v>-1</v>
      </c>
      <c r="W64" s="218">
        <f t="shared" si="35"/>
        <v>0</v>
      </c>
      <c r="X64" s="363">
        <f t="shared" si="20"/>
        <v>0.8085867620751342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f t="shared" si="29"/>
        <v>6452</v>
      </c>
      <c r="F65" s="156">
        <v>6545.96</v>
      </c>
      <c r="G65" s="150">
        <f t="shared" si="27"/>
        <v>93.96000000000004</v>
      </c>
      <c r="H65" s="380">
        <f t="shared" si="25"/>
        <v>1.0145629262244265</v>
      </c>
      <c r="I65" s="165">
        <f t="shared" si="30"/>
        <v>93.96000000000004</v>
      </c>
      <c r="J65" s="218">
        <f t="shared" si="26"/>
        <v>1.0145629262244265</v>
      </c>
      <c r="K65" s="165"/>
      <c r="L65" s="165"/>
      <c r="M65" s="165"/>
      <c r="N65" s="165">
        <v>7230.43</v>
      </c>
      <c r="O65" s="165">
        <f t="shared" si="31"/>
        <v>-778.4300000000003</v>
      </c>
      <c r="P65" s="218">
        <f t="shared" si="32"/>
        <v>0.8923397363642273</v>
      </c>
      <c r="Q65" s="165">
        <f t="shared" si="33"/>
        <v>7230.43</v>
      </c>
      <c r="R65" s="165">
        <f t="shared" si="6"/>
        <v>-684.4700000000003</v>
      </c>
      <c r="S65" s="218">
        <f t="shared" si="34"/>
        <v>0.9053348141120238</v>
      </c>
      <c r="T65" s="157">
        <f>E65-листопад!E65</f>
        <v>5</v>
      </c>
      <c r="U65" s="160">
        <f>F65-листопад!F65</f>
        <v>620.3599999999997</v>
      </c>
      <c r="V65" s="161">
        <f t="shared" si="28"/>
        <v>615.3599999999997</v>
      </c>
      <c r="W65" s="218">
        <f t="shared" si="35"/>
        <v>124.07199999999993</v>
      </c>
      <c r="X65" s="363">
        <f t="shared" si="20"/>
        <v>0.012995077747796513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f aca="true" t="shared" si="36" ref="E66:E72">D66</f>
        <v>987</v>
      </c>
      <c r="F66" s="156">
        <v>821.75</v>
      </c>
      <c r="G66" s="150">
        <f t="shared" si="27"/>
        <v>-165.25</v>
      </c>
      <c r="H66" s="380">
        <f t="shared" si="25"/>
        <v>0.8325734549138805</v>
      </c>
      <c r="I66" s="165">
        <f t="shared" si="30"/>
        <v>-165.25</v>
      </c>
      <c r="J66" s="218">
        <f t="shared" si="26"/>
        <v>0.8325734549138805</v>
      </c>
      <c r="K66" s="165"/>
      <c r="L66" s="165"/>
      <c r="M66" s="165"/>
      <c r="N66" s="165">
        <v>5161.34</v>
      </c>
      <c r="O66" s="165">
        <f t="shared" si="31"/>
        <v>-4174.34</v>
      </c>
      <c r="P66" s="218">
        <f t="shared" si="32"/>
        <v>0.19122940941693437</v>
      </c>
      <c r="Q66" s="165">
        <f t="shared" si="33"/>
        <v>5161.34</v>
      </c>
      <c r="R66" s="165">
        <f t="shared" si="6"/>
        <v>-4339.59</v>
      </c>
      <c r="S66" s="218">
        <f t="shared" si="34"/>
        <v>0.15921253007939798</v>
      </c>
      <c r="T66" s="157">
        <f>E66-листопад!E66</f>
        <v>2</v>
      </c>
      <c r="U66" s="160">
        <f>F66-листопад!F66</f>
        <v>36.16999999999996</v>
      </c>
      <c r="V66" s="161">
        <f t="shared" si="28"/>
        <v>34.16999999999996</v>
      </c>
      <c r="W66" s="218">
        <f t="shared" si="35"/>
        <v>18.08499999999998</v>
      </c>
      <c r="X66" s="363">
        <f t="shared" si="20"/>
        <v>-0.032016879337536386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f t="shared" si="36"/>
        <v>820</v>
      </c>
      <c r="F67" s="140">
        <v>690.7</v>
      </c>
      <c r="G67" s="103">
        <f t="shared" si="27"/>
        <v>-129.29999999999995</v>
      </c>
      <c r="H67" s="376">
        <f t="shared" si="25"/>
        <v>0.8423170731707318</v>
      </c>
      <c r="I67" s="104">
        <f t="shared" si="30"/>
        <v>-129.29999999999995</v>
      </c>
      <c r="J67" s="109">
        <f t="shared" si="26"/>
        <v>0.8423170731707318</v>
      </c>
      <c r="K67" s="104"/>
      <c r="L67" s="104"/>
      <c r="M67" s="104"/>
      <c r="N67" s="104">
        <v>835.21</v>
      </c>
      <c r="O67" s="104">
        <f t="shared" si="31"/>
        <v>-15.210000000000036</v>
      </c>
      <c r="P67" s="109">
        <f t="shared" si="32"/>
        <v>0.9817890111468971</v>
      </c>
      <c r="Q67" s="104">
        <f aca="true" t="shared" si="37" ref="Q67:Q72">N67</f>
        <v>835.21</v>
      </c>
      <c r="R67" s="370">
        <f t="shared" si="6"/>
        <v>-144.51</v>
      </c>
      <c r="S67" s="371">
        <f t="shared" si="34"/>
        <v>0.8269776463404414</v>
      </c>
      <c r="T67" s="105">
        <f>E67-листопад!E67</f>
        <v>0</v>
      </c>
      <c r="U67" s="144">
        <f>F67-листопад!F67</f>
        <v>28.940000000000055</v>
      </c>
      <c r="V67" s="106">
        <f t="shared" si="28"/>
        <v>28.940000000000055</v>
      </c>
      <c r="W67" s="109" t="e">
        <f t="shared" si="35"/>
        <v>#DIV/0!</v>
      </c>
      <c r="X67" s="363">
        <f t="shared" si="20"/>
        <v>-0.15481136480645574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f t="shared" si="36"/>
        <v>1</v>
      </c>
      <c r="F68" s="140">
        <v>0.18</v>
      </c>
      <c r="G68" s="103">
        <f t="shared" si="27"/>
        <v>-0.8200000000000001</v>
      </c>
      <c r="H68" s="376">
        <f t="shared" si="25"/>
        <v>0.18</v>
      </c>
      <c r="I68" s="104">
        <f t="shared" si="30"/>
        <v>-0.8200000000000001</v>
      </c>
      <c r="J68" s="109">
        <f t="shared" si="26"/>
        <v>0.18</v>
      </c>
      <c r="K68" s="104"/>
      <c r="L68" s="104"/>
      <c r="M68" s="104"/>
      <c r="N68" s="104">
        <v>0.38</v>
      </c>
      <c r="O68" s="104">
        <f t="shared" si="31"/>
        <v>0.62</v>
      </c>
      <c r="P68" s="109">
        <f t="shared" si="32"/>
        <v>2.6315789473684212</v>
      </c>
      <c r="Q68" s="104">
        <f t="shared" si="37"/>
        <v>0.38</v>
      </c>
      <c r="R68" s="370">
        <f t="shared" si="6"/>
        <v>-0.2</v>
      </c>
      <c r="S68" s="371">
        <f t="shared" si="34"/>
        <v>0.47368421052631576</v>
      </c>
      <c r="T68" s="105">
        <f>E68-листопад!E68</f>
        <v>1</v>
      </c>
      <c r="U68" s="144">
        <f>F68-листопад!F68</f>
        <v>0</v>
      </c>
      <c r="V68" s="106">
        <f t="shared" si="28"/>
        <v>-1</v>
      </c>
      <c r="W68" s="109"/>
      <c r="X68" s="363">
        <f t="shared" si="20"/>
        <v>-2.1578947368421053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f t="shared" si="36"/>
        <v>1</v>
      </c>
      <c r="F69" s="140">
        <v>0</v>
      </c>
      <c r="G69" s="103">
        <f t="shared" si="27"/>
        <v>-1</v>
      </c>
      <c r="H69" s="376">
        <f t="shared" si="25"/>
        <v>0</v>
      </c>
      <c r="I69" s="104">
        <f t="shared" si="30"/>
        <v>-1</v>
      </c>
      <c r="J69" s="109">
        <f t="shared" si="26"/>
        <v>0</v>
      </c>
      <c r="K69" s="104"/>
      <c r="L69" s="104"/>
      <c r="M69" s="104"/>
      <c r="N69" s="104">
        <v>0.02</v>
      </c>
      <c r="O69" s="104">
        <f t="shared" si="31"/>
        <v>0.98</v>
      </c>
      <c r="P69" s="109">
        <f t="shared" si="32"/>
        <v>50</v>
      </c>
      <c r="Q69" s="104">
        <f t="shared" si="37"/>
        <v>0.02</v>
      </c>
      <c r="R69" s="370">
        <f t="shared" si="6"/>
        <v>-0.02</v>
      </c>
      <c r="S69" s="371">
        <f t="shared" si="34"/>
        <v>0</v>
      </c>
      <c r="T69" s="105">
        <f>E69-листопад!E69</f>
        <v>1</v>
      </c>
      <c r="U69" s="144">
        <f>F69-листопад!F69</f>
        <v>0</v>
      </c>
      <c r="V69" s="106">
        <f t="shared" si="28"/>
        <v>-1</v>
      </c>
      <c r="W69" s="109"/>
      <c r="X69" s="363">
        <f t="shared" si="20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f t="shared" si="36"/>
        <v>165</v>
      </c>
      <c r="F70" s="140">
        <v>130.87</v>
      </c>
      <c r="G70" s="103">
        <f t="shared" si="27"/>
        <v>-34.129999999999995</v>
      </c>
      <c r="H70" s="376">
        <f t="shared" si="25"/>
        <v>0.7931515151515152</v>
      </c>
      <c r="I70" s="104">
        <f t="shared" si="30"/>
        <v>-34.129999999999995</v>
      </c>
      <c r="J70" s="109">
        <f t="shared" si="26"/>
        <v>0.7931515151515152</v>
      </c>
      <c r="K70" s="104"/>
      <c r="L70" s="104"/>
      <c r="M70" s="104"/>
      <c r="N70" s="104">
        <v>4325.74</v>
      </c>
      <c r="O70" s="104">
        <f t="shared" si="31"/>
        <v>-4160.74</v>
      </c>
      <c r="P70" s="109">
        <f t="shared" si="32"/>
        <v>0.03814376268569077</v>
      </c>
      <c r="Q70" s="104">
        <f t="shared" si="37"/>
        <v>4325.74</v>
      </c>
      <c r="R70" s="370">
        <f t="shared" si="6"/>
        <v>-4194.87</v>
      </c>
      <c r="S70" s="371">
        <f t="shared" si="34"/>
        <v>0.030253783167735464</v>
      </c>
      <c r="T70" s="105">
        <f>E70-листопад!E70</f>
        <v>0</v>
      </c>
      <c r="U70" s="144">
        <f>F70-листопад!F70</f>
        <v>7.230000000000004</v>
      </c>
      <c r="V70" s="106">
        <f t="shared" si="28"/>
        <v>7.230000000000004</v>
      </c>
      <c r="W70" s="109" t="e">
        <f t="shared" si="35"/>
        <v>#DIV/0!</v>
      </c>
      <c r="X70" s="363">
        <f t="shared" si="20"/>
        <v>-0.007889979517955309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f t="shared" si="36"/>
        <v>2.5</v>
      </c>
      <c r="F71" s="156">
        <v>2.04</v>
      </c>
      <c r="G71" s="150">
        <f t="shared" si="27"/>
        <v>-0.45999999999999996</v>
      </c>
      <c r="H71" s="380">
        <f t="shared" si="25"/>
        <v>0.8160000000000001</v>
      </c>
      <c r="I71" s="165">
        <f t="shared" si="30"/>
        <v>-0.45999999999999996</v>
      </c>
      <c r="J71" s="218">
        <f t="shared" si="26"/>
        <v>0.8160000000000001</v>
      </c>
      <c r="K71" s="165"/>
      <c r="L71" s="165"/>
      <c r="M71" s="165"/>
      <c r="N71" s="165">
        <v>2.46</v>
      </c>
      <c r="O71" s="165">
        <f t="shared" si="31"/>
        <v>0.040000000000000036</v>
      </c>
      <c r="P71" s="218">
        <f t="shared" si="32"/>
        <v>1.016260162601626</v>
      </c>
      <c r="Q71" s="165">
        <f t="shared" si="37"/>
        <v>2.46</v>
      </c>
      <c r="R71" s="165">
        <f t="shared" si="6"/>
        <v>-0.41999999999999993</v>
      </c>
      <c r="S71" s="218">
        <f t="shared" si="34"/>
        <v>0.8292682926829269</v>
      </c>
      <c r="T71" s="157">
        <f>E71-листопад!E71</f>
        <v>0</v>
      </c>
      <c r="U71" s="160">
        <f>F71-листопад!F71</f>
        <v>0</v>
      </c>
      <c r="V71" s="161">
        <f t="shared" si="28"/>
        <v>0</v>
      </c>
      <c r="W71" s="218"/>
      <c r="X71" s="363">
        <f t="shared" si="20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f t="shared" si="36"/>
        <v>7350</v>
      </c>
      <c r="F72" s="156">
        <v>7769.04</v>
      </c>
      <c r="G72" s="150">
        <f t="shared" si="27"/>
        <v>419.03999999999996</v>
      </c>
      <c r="H72" s="380">
        <f t="shared" si="25"/>
        <v>1.057012244897959</v>
      </c>
      <c r="I72" s="165">
        <f t="shared" si="30"/>
        <v>419.03999999999996</v>
      </c>
      <c r="J72" s="218">
        <f t="shared" si="26"/>
        <v>1.057012244897959</v>
      </c>
      <c r="K72" s="165"/>
      <c r="L72" s="165"/>
      <c r="M72" s="165"/>
      <c r="N72" s="165">
        <v>6525.16</v>
      </c>
      <c r="O72" s="165">
        <f t="shared" si="31"/>
        <v>824.8400000000001</v>
      </c>
      <c r="P72" s="218">
        <f t="shared" si="32"/>
        <v>1.1264091608481632</v>
      </c>
      <c r="Q72" s="165">
        <f t="shared" si="37"/>
        <v>6525.16</v>
      </c>
      <c r="R72" s="165">
        <f t="shared" si="6"/>
        <v>1243.88</v>
      </c>
      <c r="S72" s="218">
        <f t="shared" si="34"/>
        <v>1.1906282757817432</v>
      </c>
      <c r="T72" s="157">
        <f>E72-листопад!E72</f>
        <v>250</v>
      </c>
      <c r="U72" s="160">
        <f>F72-листопад!F72</f>
        <v>403.75</v>
      </c>
      <c r="V72" s="161">
        <f t="shared" si="28"/>
        <v>153.75</v>
      </c>
      <c r="W72" s="218">
        <f t="shared" si="35"/>
        <v>1.615</v>
      </c>
      <c r="X72" s="363">
        <f t="shared" si="20"/>
        <v>0.06421911493358001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7"/>
        <v>0</v>
      </c>
      <c r="H73" s="380" t="e">
        <f>F73/E73*100</f>
        <v>#DIV/0!</v>
      </c>
      <c r="I73" s="165">
        <f t="shared" si="30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6"/>
        <v>0</v>
      </c>
      <c r="S73" s="218" t="e">
        <f t="shared" si="34"/>
        <v>#DIV/0!</v>
      </c>
      <c r="T73" s="157">
        <f>E73-листопад!E73</f>
        <v>0</v>
      </c>
      <c r="U73" s="160">
        <f>F73-серпень!F61</f>
        <v>0</v>
      </c>
      <c r="V73" s="161">
        <f t="shared" si="28"/>
        <v>0</v>
      </c>
      <c r="W73" s="218" t="e">
        <f t="shared" si="35"/>
        <v>#DIV/0!</v>
      </c>
      <c r="X73" s="363" t="e">
        <f t="shared" si="20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2043.6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f>N74</f>
        <v>1411.18</v>
      </c>
      <c r="R74" s="254"/>
      <c r="S74" s="305">
        <f t="shared" si="34"/>
        <v>1.448149775365297</v>
      </c>
      <c r="T74" s="157"/>
      <c r="U74" s="179">
        <f>F74-листопад!F74</f>
        <v>94.7199999999998</v>
      </c>
      <c r="V74" s="166">
        <f t="shared" si="28"/>
        <v>94.7199999999998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7"/>
        <v>0</v>
      </c>
      <c r="H75" s="380" t="e">
        <f>F75/E75*100</f>
        <v>#DIV/0!</v>
      </c>
      <c r="I75" s="165">
        <f t="shared" si="30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6"/>
        <v>0</v>
      </c>
      <c r="S75" s="218" t="e">
        <f t="shared" si="34"/>
        <v>#DIV/0!</v>
      </c>
      <c r="T75" s="157">
        <f>E75-серпень!E63</f>
        <v>0</v>
      </c>
      <c r="U75" s="160">
        <f>F75-серпень!F63</f>
        <v>0</v>
      </c>
      <c r="V75" s="161">
        <f t="shared" si="28"/>
        <v>0</v>
      </c>
      <c r="W75" s="218" t="e">
        <f t="shared" si="35"/>
        <v>#DIV/0!</v>
      </c>
      <c r="X75" s="363" t="e">
        <f t="shared" si="20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f>D76</f>
        <v>160</v>
      </c>
      <c r="F76" s="156">
        <v>142.18</v>
      </c>
      <c r="G76" s="150">
        <f t="shared" si="27"/>
        <v>-17.819999999999993</v>
      </c>
      <c r="H76" s="380">
        <f>F76/E76</f>
        <v>0.888625</v>
      </c>
      <c r="I76" s="165">
        <f t="shared" si="30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f>N76</f>
        <v>226.72</v>
      </c>
      <c r="R76" s="165">
        <f t="shared" si="6"/>
        <v>-84.53999999999999</v>
      </c>
      <c r="S76" s="218">
        <f t="shared" si="34"/>
        <v>0.6271171489061398</v>
      </c>
      <c r="T76" s="157">
        <f>E76-листопад!E76</f>
        <v>70</v>
      </c>
      <c r="U76" s="160">
        <f>F76-листопад!F76</f>
        <v>0</v>
      </c>
      <c r="V76" s="161">
        <f t="shared" si="28"/>
        <v>-70</v>
      </c>
      <c r="W76" s="218">
        <f t="shared" si="35"/>
        <v>0</v>
      </c>
      <c r="X76" s="363">
        <f t="shared" si="20"/>
        <v>-0.07859915314043753</v>
      </c>
    </row>
    <row r="77" spans="1:24" s="6" customFormat="1" ht="27.75" customHeight="1">
      <c r="A77" s="8"/>
      <c r="B77" s="131" t="s">
        <v>44</v>
      </c>
      <c r="C77" s="43">
        <v>31010200</v>
      </c>
      <c r="D77" s="150">
        <v>15</v>
      </c>
      <c r="E77" s="150">
        <f>D77</f>
        <v>15</v>
      </c>
      <c r="F77" s="156">
        <v>34.22</v>
      </c>
      <c r="G77" s="150">
        <f t="shared" si="27"/>
        <v>19.22</v>
      </c>
      <c r="H77" s="380">
        <f>F77/E77</f>
        <v>2.2813333333333334</v>
      </c>
      <c r="I77" s="165">
        <f t="shared" si="30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f>N77</f>
        <v>13.52</v>
      </c>
      <c r="R77" s="165">
        <f t="shared" si="6"/>
        <v>20.7</v>
      </c>
      <c r="S77" s="218">
        <f t="shared" si="34"/>
        <v>2.5310650887573964</v>
      </c>
      <c r="T77" s="157">
        <f>E77-листопад!E77</f>
        <v>1.1999999999999993</v>
      </c>
      <c r="U77" s="160">
        <f>F77-листопад!F77</f>
        <v>0</v>
      </c>
      <c r="V77" s="161">
        <f t="shared" si="28"/>
        <v>-1.1999999999999993</v>
      </c>
      <c r="W77" s="218">
        <f t="shared" si="35"/>
        <v>0</v>
      </c>
      <c r="X77" s="363">
        <f t="shared" si="20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f>D78</f>
        <v>0</v>
      </c>
      <c r="F78" s="156">
        <v>-4.88</v>
      </c>
      <c r="G78" s="150">
        <f t="shared" si="27"/>
        <v>-4.88</v>
      </c>
      <c r="H78" s="380" t="e">
        <f>F78/E78</f>
        <v>#DIV/0!</v>
      </c>
      <c r="I78" s="165">
        <f t="shared" si="30"/>
        <v>-4.88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f>N78</f>
        <v>7.37</v>
      </c>
      <c r="R78" s="165">
        <f t="shared" si="6"/>
        <v>-12.25</v>
      </c>
      <c r="S78" s="218">
        <f t="shared" si="34"/>
        <v>-0.6621438263229308</v>
      </c>
      <c r="T78" s="157">
        <f>E78-листопад!E78</f>
        <v>0</v>
      </c>
      <c r="U78" s="160">
        <f>F78-листопад!F78</f>
        <v>0.1200000000000001</v>
      </c>
      <c r="V78" s="161">
        <f t="shared" si="28"/>
        <v>0.1200000000000001</v>
      </c>
      <c r="W78" s="218"/>
      <c r="X78" s="363">
        <f t="shared" si="20"/>
        <v>-0.6621438263229308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1357491.1</v>
      </c>
      <c r="F79" s="151">
        <f>F8+F53+F77+F78</f>
        <v>1325021.66</v>
      </c>
      <c r="G79" s="151">
        <f>F79-E79</f>
        <v>-32469.440000000177</v>
      </c>
      <c r="H79" s="377">
        <f>F79/E79</f>
        <v>0.976081287015436</v>
      </c>
      <c r="I79" s="153">
        <f>F79-D79</f>
        <v>-32469.440000000177</v>
      </c>
      <c r="J79" s="219">
        <f>F79/D79</f>
        <v>0.976081287015436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f>N79</f>
        <v>1053569.51</v>
      </c>
      <c r="R79" s="153">
        <f>F79-Q79</f>
        <v>271452.1499999999</v>
      </c>
      <c r="S79" s="219">
        <f>F79/Q79</f>
        <v>1.2576499674900423</v>
      </c>
      <c r="T79" s="151">
        <f>T8+T53+T77+T78</f>
        <v>112733.8</v>
      </c>
      <c r="U79" s="151">
        <f>U8+U53+U77+U78</f>
        <v>56110.020000000055</v>
      </c>
      <c r="V79" s="194">
        <f>U79-T79</f>
        <v>-56623.77999999995</v>
      </c>
      <c r="W79" s="219">
        <f>U79/T79</f>
        <v>0.497721357747189</v>
      </c>
      <c r="X79" s="363">
        <f t="shared" si="20"/>
        <v>-0.030818507646448667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20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20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20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20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f aca="true" t="shared" si="38" ref="Q84:Q98">N84</f>
        <v>0</v>
      </c>
      <c r="R84" s="167">
        <f>F84-Q84</f>
        <v>0.01</v>
      </c>
      <c r="S84" s="209" t="e">
        <f>F84/Q84</f>
        <v>#DIV/0!</v>
      </c>
      <c r="T84" s="162">
        <f>E84-листопад!E84</f>
        <v>0</v>
      </c>
      <c r="U84" s="160">
        <f>F84-листопад!F84</f>
        <v>0</v>
      </c>
      <c r="V84" s="167"/>
      <c r="W84" s="209"/>
      <c r="X84" s="363" t="e">
        <f t="shared" si="20"/>
        <v>#DIV/0!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f t="shared" si="38"/>
        <v>-10.19</v>
      </c>
      <c r="R85" s="167">
        <f>F85-Q85</f>
        <v>7.549999999999999</v>
      </c>
      <c r="S85" s="209">
        <f>F85/Q85</f>
        <v>0.2590775269872424</v>
      </c>
      <c r="T85" s="162">
        <f>E85-листопад!E85</f>
        <v>0</v>
      </c>
      <c r="U85" s="160">
        <f>F85-листопад!F85</f>
        <v>0</v>
      </c>
      <c r="V85" s="167">
        <f>U85-T85</f>
        <v>0</v>
      </c>
      <c r="W85" s="209"/>
      <c r="X85" s="363">
        <f t="shared" si="20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f t="shared" si="38"/>
        <v>-10.18</v>
      </c>
      <c r="R86" s="187">
        <f aca="true" t="shared" si="39" ref="R86:R98">F86-Q86</f>
        <v>7.549999999999999</v>
      </c>
      <c r="S86" s="214">
        <f aca="true" t="shared" si="40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20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41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42" ref="O87:O98">D87-N87</f>
        <v>0</v>
      </c>
      <c r="P87" s="214" t="e">
        <f aca="true" t="shared" si="43" ref="P87:P98">D87/N87</f>
        <v>#DIV/0!</v>
      </c>
      <c r="Q87" s="187">
        <f t="shared" si="38"/>
        <v>0</v>
      </c>
      <c r="R87" s="187">
        <f t="shared" si="39"/>
        <v>35.57</v>
      </c>
      <c r="S87" s="209"/>
      <c r="T87" s="186">
        <f>E87-листопад!E87</f>
        <v>0</v>
      </c>
      <c r="U87" s="289">
        <f>F87-листопад!F87</f>
        <v>0</v>
      </c>
      <c r="V87" s="187">
        <f aca="true" t="shared" si="44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f>74458.74-3152.98</f>
        <v>71305.76000000001</v>
      </c>
      <c r="E88" s="180">
        <f>D88</f>
        <v>71305.76000000001</v>
      </c>
      <c r="F88" s="181">
        <v>938.11</v>
      </c>
      <c r="G88" s="162">
        <f t="shared" si="41"/>
        <v>-70367.65000000001</v>
      </c>
      <c r="H88" s="380">
        <f>F88/E88</f>
        <v>0.013156160175559449</v>
      </c>
      <c r="I88" s="167">
        <f>F88-D88</f>
        <v>-70367.65000000001</v>
      </c>
      <c r="J88" s="209">
        <f>F88/D88</f>
        <v>0.013156160175559449</v>
      </c>
      <c r="K88" s="167"/>
      <c r="L88" s="167"/>
      <c r="M88" s="167"/>
      <c r="N88" s="167">
        <v>4618.99</v>
      </c>
      <c r="O88" s="167">
        <f t="shared" si="42"/>
        <v>66686.77</v>
      </c>
      <c r="P88" s="209">
        <f t="shared" si="43"/>
        <v>15.437522055687502</v>
      </c>
      <c r="Q88" s="167">
        <f t="shared" si="38"/>
        <v>4618.99</v>
      </c>
      <c r="R88" s="167">
        <f t="shared" si="39"/>
        <v>-3680.8799999999997</v>
      </c>
      <c r="S88" s="209">
        <f t="shared" si="40"/>
        <v>0.20309851287835654</v>
      </c>
      <c r="T88" s="157">
        <f>E88-листопад!E88</f>
        <v>15462.250000000007</v>
      </c>
      <c r="U88" s="160">
        <f>F88-листопад!F88</f>
        <v>0.009999999999990905</v>
      </c>
      <c r="V88" s="167">
        <f t="shared" si="44"/>
        <v>-15462.240000000007</v>
      </c>
      <c r="W88" s="209">
        <f>U88/T88</f>
        <v>6.467364064085693E-07</v>
      </c>
      <c r="X88" s="363">
        <f t="shared" si="20"/>
        <v>-15.234423542809145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f>D89</f>
        <v>54000</v>
      </c>
      <c r="F89" s="181">
        <v>7978.3</v>
      </c>
      <c r="G89" s="162">
        <f t="shared" si="41"/>
        <v>-46021.7</v>
      </c>
      <c r="H89" s="380">
        <f>F89/E89</f>
        <v>0.1477462962962963</v>
      </c>
      <c r="I89" s="167">
        <f aca="true" t="shared" si="45" ref="I89:I98">F89-D89</f>
        <v>-46021.7</v>
      </c>
      <c r="J89" s="209">
        <f>F89/D89</f>
        <v>0.1477462962962963</v>
      </c>
      <c r="K89" s="167"/>
      <c r="L89" s="167"/>
      <c r="M89" s="167"/>
      <c r="N89" s="167">
        <v>10435.77</v>
      </c>
      <c r="O89" s="167">
        <f t="shared" si="42"/>
        <v>43564.229999999996</v>
      </c>
      <c r="P89" s="209">
        <f t="shared" si="43"/>
        <v>5.174510361956999</v>
      </c>
      <c r="Q89" s="167">
        <f t="shared" si="38"/>
        <v>10435.77</v>
      </c>
      <c r="R89" s="167">
        <f t="shared" si="39"/>
        <v>-2457.4700000000003</v>
      </c>
      <c r="S89" s="209">
        <f t="shared" si="40"/>
        <v>0.7645147411259543</v>
      </c>
      <c r="T89" s="157">
        <f>E89-листопад!E89</f>
        <v>20370</v>
      </c>
      <c r="U89" s="160">
        <f>F89-листопад!F89</f>
        <v>123.3100000000004</v>
      </c>
      <c r="V89" s="167">
        <f t="shared" si="44"/>
        <v>-20246.69</v>
      </c>
      <c r="W89" s="209">
        <f>U89/T89</f>
        <v>0.006053510063819362</v>
      </c>
      <c r="X89" s="363">
        <f t="shared" si="20"/>
        <v>-4.409995620831045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f>D90</f>
        <v>79000</v>
      </c>
      <c r="F90" s="181">
        <v>16671.88</v>
      </c>
      <c r="G90" s="162">
        <f t="shared" si="41"/>
        <v>-62328.119999999995</v>
      </c>
      <c r="H90" s="380">
        <f>F90/E90</f>
        <v>0.21103645569620255</v>
      </c>
      <c r="I90" s="167">
        <f t="shared" si="45"/>
        <v>-62328.119999999995</v>
      </c>
      <c r="J90" s="209">
        <f>F90/D90</f>
        <v>0.21103645569620255</v>
      </c>
      <c r="K90" s="167"/>
      <c r="L90" s="167"/>
      <c r="M90" s="167"/>
      <c r="N90" s="167">
        <v>12593.19</v>
      </c>
      <c r="O90" s="167">
        <f t="shared" si="42"/>
        <v>66406.81</v>
      </c>
      <c r="P90" s="209">
        <f t="shared" si="43"/>
        <v>6.273231802267733</v>
      </c>
      <c r="Q90" s="167">
        <f t="shared" si="38"/>
        <v>12593.19</v>
      </c>
      <c r="R90" s="167">
        <f t="shared" si="39"/>
        <v>4078.6900000000005</v>
      </c>
      <c r="S90" s="209">
        <f t="shared" si="40"/>
        <v>1.3238806053112833</v>
      </c>
      <c r="T90" s="157">
        <f>E90-листопад!E90</f>
        <v>23700</v>
      </c>
      <c r="U90" s="160">
        <f>F90-листопад!F90</f>
        <v>965.3400000000001</v>
      </c>
      <c r="V90" s="167">
        <f t="shared" si="44"/>
        <v>-22734.66</v>
      </c>
      <c r="W90" s="209">
        <f>U90/T90</f>
        <v>0.04073164556962026</v>
      </c>
      <c r="X90" s="363">
        <f t="shared" si="20"/>
        <v>-4.949351196956449</v>
      </c>
    </row>
    <row r="91" spans="2:24" ht="18">
      <c r="B91" s="23" t="s">
        <v>101</v>
      </c>
      <c r="C91" s="73">
        <v>24110700</v>
      </c>
      <c r="D91" s="180">
        <v>12</v>
      </c>
      <c r="E91" s="180">
        <f>D91</f>
        <v>12</v>
      </c>
      <c r="F91" s="181">
        <v>17</v>
      </c>
      <c r="G91" s="162">
        <f t="shared" si="41"/>
        <v>5</v>
      </c>
      <c r="H91" s="380">
        <f>F91/E91</f>
        <v>1.4166666666666667</v>
      </c>
      <c r="I91" s="167">
        <f t="shared" si="45"/>
        <v>5</v>
      </c>
      <c r="J91" s="209">
        <f>F91/D91</f>
        <v>1.4166666666666667</v>
      </c>
      <c r="K91" s="167"/>
      <c r="L91" s="167"/>
      <c r="M91" s="167"/>
      <c r="N91" s="167">
        <v>13</v>
      </c>
      <c r="O91" s="167">
        <f t="shared" si="42"/>
        <v>-1</v>
      </c>
      <c r="P91" s="209">
        <f t="shared" si="43"/>
        <v>0.9230769230769231</v>
      </c>
      <c r="Q91" s="167">
        <f t="shared" si="38"/>
        <v>13</v>
      </c>
      <c r="R91" s="167">
        <f t="shared" si="39"/>
        <v>4</v>
      </c>
      <c r="S91" s="209">
        <f t="shared" si="40"/>
        <v>1.3076923076923077</v>
      </c>
      <c r="T91" s="157">
        <f>E91-листопад!E91</f>
        <v>1</v>
      </c>
      <c r="U91" s="160">
        <f>F91-листопад!F91</f>
        <v>1</v>
      </c>
      <c r="V91" s="167">
        <f t="shared" si="44"/>
        <v>0</v>
      </c>
      <c r="W91" s="209">
        <f>U91/T91</f>
        <v>1</v>
      </c>
      <c r="X91" s="363">
        <f t="shared" si="20"/>
        <v>0.3846153846153846</v>
      </c>
    </row>
    <row r="92" spans="2:24" ht="33">
      <c r="B92" s="28" t="s">
        <v>51</v>
      </c>
      <c r="C92" s="65"/>
      <c r="D92" s="183">
        <f>D88+D89+D90+D91</f>
        <v>204317.76</v>
      </c>
      <c r="E92" s="183">
        <f>E88+E89+E90+E91</f>
        <v>204317.76</v>
      </c>
      <c r="F92" s="184">
        <f>F88+F89+F90+F91</f>
        <v>25605.29</v>
      </c>
      <c r="G92" s="185">
        <f t="shared" si="41"/>
        <v>-178712.47</v>
      </c>
      <c r="H92" s="383">
        <f>F92/E92</f>
        <v>0.12532092168590728</v>
      </c>
      <c r="I92" s="187">
        <f t="shared" si="45"/>
        <v>-178712.47</v>
      </c>
      <c r="J92" s="214">
        <f>F92/D92</f>
        <v>0.12532092168590728</v>
      </c>
      <c r="K92" s="187"/>
      <c r="L92" s="187"/>
      <c r="M92" s="187"/>
      <c r="N92" s="187">
        <v>27660.95</v>
      </c>
      <c r="O92" s="187">
        <f t="shared" si="42"/>
        <v>176656.81</v>
      </c>
      <c r="P92" s="214">
        <f t="shared" si="43"/>
        <v>7.386505524936779</v>
      </c>
      <c r="Q92" s="187">
        <f t="shared" si="38"/>
        <v>27660.95</v>
      </c>
      <c r="R92" s="167">
        <f t="shared" si="39"/>
        <v>-2055.66</v>
      </c>
      <c r="S92" s="209">
        <f t="shared" si="40"/>
        <v>0.9256836804231235</v>
      </c>
      <c r="T92" s="185">
        <f>T88+T89+T90+T91</f>
        <v>59533.25000000001</v>
      </c>
      <c r="U92" s="189">
        <f>U88+U89+U90+U91</f>
        <v>1089.6600000000005</v>
      </c>
      <c r="V92" s="187">
        <f t="shared" si="44"/>
        <v>-58443.590000000004</v>
      </c>
      <c r="W92" s="214">
        <f>U92/T92</f>
        <v>0.018303385083125824</v>
      </c>
      <c r="X92" s="363">
        <f t="shared" si="20"/>
        <v>-6.460821844513656</v>
      </c>
    </row>
    <row r="93" spans="2:24" ht="46.5">
      <c r="B93" s="12" t="s">
        <v>40</v>
      </c>
      <c r="C93" s="75">
        <v>24062100</v>
      </c>
      <c r="D93" s="180">
        <v>40</v>
      </c>
      <c r="E93" s="180">
        <f>D93</f>
        <v>40</v>
      </c>
      <c r="F93" s="181">
        <v>49.17</v>
      </c>
      <c r="G93" s="162">
        <f t="shared" si="41"/>
        <v>9.170000000000002</v>
      </c>
      <c r="H93" s="380"/>
      <c r="I93" s="167">
        <f t="shared" si="45"/>
        <v>9.170000000000002</v>
      </c>
      <c r="J93" s="209"/>
      <c r="K93" s="167"/>
      <c r="L93" s="167"/>
      <c r="M93" s="167"/>
      <c r="N93" s="167">
        <v>69.99</v>
      </c>
      <c r="O93" s="167">
        <f t="shared" si="42"/>
        <v>-29.989999999999995</v>
      </c>
      <c r="P93" s="209">
        <f t="shared" si="43"/>
        <v>0.5715102157451065</v>
      </c>
      <c r="Q93" s="167">
        <f t="shared" si="38"/>
        <v>69.99</v>
      </c>
      <c r="R93" s="167">
        <f t="shared" si="39"/>
        <v>-20.819999999999993</v>
      </c>
      <c r="S93" s="209">
        <f t="shared" si="40"/>
        <v>0.7025289327046722</v>
      </c>
      <c r="T93" s="157">
        <f>E93-листопад!E93</f>
        <v>6</v>
      </c>
      <c r="U93" s="160">
        <f>F93-листопад!F93</f>
        <v>0</v>
      </c>
      <c r="V93" s="167">
        <f t="shared" si="44"/>
        <v>-6</v>
      </c>
      <c r="W93" s="209"/>
      <c r="X93" s="363">
        <f t="shared" si="20"/>
        <v>0.13101871695956568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f>D94</f>
        <v>0</v>
      </c>
      <c r="F94" s="181">
        <v>0</v>
      </c>
      <c r="G94" s="162">
        <f t="shared" si="41"/>
        <v>0</v>
      </c>
      <c r="H94" s="380"/>
      <c r="I94" s="167">
        <f t="shared" si="45"/>
        <v>0</v>
      </c>
      <c r="J94" s="391"/>
      <c r="K94" s="190"/>
      <c r="L94" s="190"/>
      <c r="M94" s="190"/>
      <c r="N94" s="190"/>
      <c r="O94" s="167">
        <f t="shared" si="42"/>
        <v>0</v>
      </c>
      <c r="P94" s="209" t="e">
        <f t="shared" si="43"/>
        <v>#DIV/0!</v>
      </c>
      <c r="Q94" s="167">
        <f t="shared" si="38"/>
        <v>0</v>
      </c>
      <c r="R94" s="167">
        <f t="shared" si="39"/>
        <v>0</v>
      </c>
      <c r="S94" s="209" t="e">
        <f t="shared" si="40"/>
        <v>#DIV/0!</v>
      </c>
      <c r="T94" s="157">
        <f>E94-листопад!E94</f>
        <v>0</v>
      </c>
      <c r="U94" s="160">
        <f>F94-листопад!F94</f>
        <v>0</v>
      </c>
      <c r="V94" s="167">
        <f t="shared" si="44"/>
        <v>0</v>
      </c>
      <c r="W94" s="391"/>
      <c r="X94" s="363" t="e">
        <f t="shared" si="20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f>D95</f>
        <v>8360</v>
      </c>
      <c r="F95" s="181">
        <v>8033.11</v>
      </c>
      <c r="G95" s="162">
        <f t="shared" si="41"/>
        <v>-326.8900000000003</v>
      </c>
      <c r="H95" s="380">
        <f>F95/E95</f>
        <v>0.9608983253588517</v>
      </c>
      <c r="I95" s="167">
        <f t="shared" si="45"/>
        <v>-326.8900000000003</v>
      </c>
      <c r="J95" s="209">
        <f>F95/D95</f>
        <v>0.9608983253588517</v>
      </c>
      <c r="K95" s="167"/>
      <c r="L95" s="167"/>
      <c r="M95" s="167"/>
      <c r="N95" s="167">
        <v>8352.68</v>
      </c>
      <c r="O95" s="167">
        <f t="shared" si="42"/>
        <v>7.319999999999709</v>
      </c>
      <c r="P95" s="209">
        <f t="shared" si="43"/>
        <v>1.0008763654300177</v>
      </c>
      <c r="Q95" s="167">
        <f t="shared" si="38"/>
        <v>8352.68</v>
      </c>
      <c r="R95" s="167">
        <f t="shared" si="39"/>
        <v>-319.5700000000006</v>
      </c>
      <c r="S95" s="209">
        <f t="shared" si="40"/>
        <v>0.961740423432958</v>
      </c>
      <c r="T95" s="157">
        <f>E95-листопад!E95</f>
        <v>0.5</v>
      </c>
      <c r="U95" s="160">
        <f>F95-листопад!F95</f>
        <v>0.15999999999985448</v>
      </c>
      <c r="V95" s="167">
        <f t="shared" si="44"/>
        <v>-0.3400000000001455</v>
      </c>
      <c r="W95" s="209">
        <f>U95/T95</f>
        <v>0.31999999999970896</v>
      </c>
      <c r="X95" s="363">
        <f t="shared" si="20"/>
        <v>-0.03913594199705972</v>
      </c>
    </row>
    <row r="96" spans="2:24" ht="31.5">
      <c r="B96" s="23" t="s">
        <v>50</v>
      </c>
      <c r="C96" s="73">
        <v>19050000</v>
      </c>
      <c r="D96" s="180">
        <v>0</v>
      </c>
      <c r="E96" s="180">
        <f>D96</f>
        <v>0</v>
      </c>
      <c r="F96" s="181">
        <v>0.1</v>
      </c>
      <c r="G96" s="162">
        <f t="shared" si="41"/>
        <v>0.1</v>
      </c>
      <c r="H96" s="380"/>
      <c r="I96" s="167">
        <f t="shared" si="45"/>
        <v>0.1</v>
      </c>
      <c r="J96" s="209"/>
      <c r="K96" s="167"/>
      <c r="L96" s="167"/>
      <c r="M96" s="167"/>
      <c r="N96" s="167">
        <v>1.48</v>
      </c>
      <c r="O96" s="167">
        <f t="shared" si="42"/>
        <v>-1.48</v>
      </c>
      <c r="P96" s="209">
        <f t="shared" si="43"/>
        <v>0</v>
      </c>
      <c r="Q96" s="167">
        <f t="shared" si="38"/>
        <v>1.48</v>
      </c>
      <c r="R96" s="167">
        <f t="shared" si="39"/>
        <v>-1.38</v>
      </c>
      <c r="S96" s="209">
        <f t="shared" si="40"/>
        <v>0.06756756756756757</v>
      </c>
      <c r="T96" s="157">
        <f>E96-листопад!E96</f>
        <v>0</v>
      </c>
      <c r="U96" s="160">
        <f>F96-листопад!F96</f>
        <v>0</v>
      </c>
      <c r="V96" s="167">
        <f t="shared" si="44"/>
        <v>0</v>
      </c>
      <c r="W96" s="391"/>
      <c r="X96" s="363">
        <f t="shared" si="20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8400</v>
      </c>
      <c r="F97" s="184">
        <f>F93+F96+F94+F95</f>
        <v>8082.38</v>
      </c>
      <c r="G97" s="185">
        <f t="shared" si="41"/>
        <v>-317.6199999999999</v>
      </c>
      <c r="H97" s="383">
        <f>F97/E97</f>
        <v>0.9621880952380952</v>
      </c>
      <c r="I97" s="187">
        <f t="shared" si="45"/>
        <v>-317.6199999999999</v>
      </c>
      <c r="J97" s="214">
        <f>F97/D97</f>
        <v>0.9621880952380952</v>
      </c>
      <c r="K97" s="187"/>
      <c r="L97" s="187"/>
      <c r="M97" s="187"/>
      <c r="N97" s="187">
        <v>8424.15</v>
      </c>
      <c r="O97" s="187">
        <f t="shared" si="42"/>
        <v>-24.149999999999636</v>
      </c>
      <c r="P97" s="214">
        <f t="shared" si="43"/>
        <v>0.9971332419294529</v>
      </c>
      <c r="Q97" s="187">
        <f t="shared" si="38"/>
        <v>8424.15</v>
      </c>
      <c r="R97" s="167">
        <f t="shared" si="39"/>
        <v>-341.7699999999995</v>
      </c>
      <c r="S97" s="209">
        <f t="shared" si="40"/>
        <v>0.959429734750687</v>
      </c>
      <c r="T97" s="185">
        <f>T93+T96+T94+T95</f>
        <v>6.5</v>
      </c>
      <c r="U97" s="189">
        <f>U93+U96+U94+U95</f>
        <v>0.15999999999985448</v>
      </c>
      <c r="V97" s="187">
        <f t="shared" si="44"/>
        <v>-6.3400000000001455</v>
      </c>
      <c r="W97" s="214">
        <f>U97/T97</f>
        <v>0.024615384615362227</v>
      </c>
      <c r="X97" s="363">
        <f t="shared" si="20"/>
        <v>-0.037703507178765805</v>
      </c>
    </row>
    <row r="98" spans="2:24" ht="30.75">
      <c r="B98" s="12" t="s">
        <v>41</v>
      </c>
      <c r="C98" s="43">
        <v>24110900</v>
      </c>
      <c r="D98" s="180">
        <v>38</v>
      </c>
      <c r="E98" s="180">
        <f>D98</f>
        <v>38</v>
      </c>
      <c r="F98" s="181">
        <v>29.16</v>
      </c>
      <c r="G98" s="162">
        <f t="shared" si="41"/>
        <v>-8.84</v>
      </c>
      <c r="H98" s="380">
        <f>F98/E98</f>
        <v>0.7673684210526316</v>
      </c>
      <c r="I98" s="167">
        <f t="shared" si="45"/>
        <v>-8.84</v>
      </c>
      <c r="J98" s="209">
        <f>F98/D98</f>
        <v>0.7673684210526316</v>
      </c>
      <c r="K98" s="167"/>
      <c r="L98" s="167"/>
      <c r="M98" s="167"/>
      <c r="N98" s="167">
        <v>35.33</v>
      </c>
      <c r="O98" s="167">
        <f t="shared" si="42"/>
        <v>2.6700000000000017</v>
      </c>
      <c r="P98" s="209">
        <f t="shared" si="43"/>
        <v>1.075573167279932</v>
      </c>
      <c r="Q98" s="187">
        <f t="shared" si="38"/>
        <v>35.33</v>
      </c>
      <c r="R98" s="167">
        <f t="shared" si="39"/>
        <v>-6.169999999999998</v>
      </c>
      <c r="S98" s="209">
        <f t="shared" si="40"/>
        <v>0.8253608831021795</v>
      </c>
      <c r="T98" s="157">
        <f>E98-листопад!E98</f>
        <v>0</v>
      </c>
      <c r="U98" s="160">
        <f>F98-листопад!F98</f>
        <v>0.129999999999999</v>
      </c>
      <c r="V98" s="167">
        <f t="shared" si="44"/>
        <v>0.129999999999999</v>
      </c>
      <c r="W98" s="209" t="e">
        <f>U98/T98</f>
        <v>#DIV/0!</v>
      </c>
      <c r="X98" s="363">
        <f t="shared" si="20"/>
        <v>-0.25021228417775254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40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20"/>
        <v>0</v>
      </c>
    </row>
    <row r="100" spans="2:24" ht="23.25" customHeight="1">
      <c r="B100" s="306" t="s">
        <v>31</v>
      </c>
      <c r="C100" s="307"/>
      <c r="D100" s="308">
        <f>D86+D87+D92+D97+D98</f>
        <v>212755.76</v>
      </c>
      <c r="E100" s="308">
        <f>E86+E87+E92+E97+E98</f>
        <v>212755.76</v>
      </c>
      <c r="F100" s="308">
        <f>F86+F87+F92+F97+F98</f>
        <v>33749.770000000004</v>
      </c>
      <c r="G100" s="309">
        <f>F100-E100</f>
        <v>-179005.99</v>
      </c>
      <c r="H100" s="384">
        <f>F100/E100</f>
        <v>0.15863152189158122</v>
      </c>
      <c r="I100" s="301">
        <f>F100-D100</f>
        <v>-179005.99</v>
      </c>
      <c r="J100" s="302">
        <f>F100/D100</f>
        <v>0.15863152189158122</v>
      </c>
      <c r="K100" s="301"/>
      <c r="L100" s="301"/>
      <c r="M100" s="301"/>
      <c r="N100" s="301">
        <v>36110.25</v>
      </c>
      <c r="O100" s="301">
        <f>D100-N100</f>
        <v>176645.51</v>
      </c>
      <c r="P100" s="302">
        <f>D100/N100</f>
        <v>5.891838466917288</v>
      </c>
      <c r="Q100" s="308">
        <f>N100</f>
        <v>36110.25</v>
      </c>
      <c r="R100" s="301">
        <f>F100-Q100</f>
        <v>-2360.479999999996</v>
      </c>
      <c r="S100" s="302">
        <f t="shared" si="40"/>
        <v>0.9346313027464502</v>
      </c>
      <c r="T100" s="308">
        <f>T86+T87+T92+T97+T98</f>
        <v>59539.75000000001</v>
      </c>
      <c r="U100" s="308">
        <f>U86+U87+U92+U97+U98</f>
        <v>1089.9500000000005</v>
      </c>
      <c r="V100" s="301">
        <f>U100-T100</f>
        <v>-58449.80000000001</v>
      </c>
      <c r="W100" s="302">
        <f>U100/T100</f>
        <v>0.018306257584218954</v>
      </c>
      <c r="X100" s="363">
        <f>S100-P100</f>
        <v>-4.957207164170837</v>
      </c>
    </row>
    <row r="101" spans="2:24" ht="17.25">
      <c r="B101" s="311" t="s">
        <v>182</v>
      </c>
      <c r="C101" s="307"/>
      <c r="D101" s="308">
        <f>D79+D100</f>
        <v>1570246.86</v>
      </c>
      <c r="E101" s="308">
        <f>E79+E100</f>
        <v>1570246.86</v>
      </c>
      <c r="F101" s="308">
        <f>F79+F100</f>
        <v>1358771.43</v>
      </c>
      <c r="G101" s="309">
        <f>F101-E101</f>
        <v>-211475.43000000017</v>
      </c>
      <c r="H101" s="384">
        <f>F101/E101</f>
        <v>0.8653234498427845</v>
      </c>
      <c r="I101" s="301">
        <f>F101-D101</f>
        <v>-211475.43000000017</v>
      </c>
      <c r="J101" s="302">
        <f>F101/D101</f>
        <v>0.8653234498427845</v>
      </c>
      <c r="K101" s="301"/>
      <c r="L101" s="301"/>
      <c r="M101" s="301"/>
      <c r="N101" s="301">
        <v>1089679.76</v>
      </c>
      <c r="O101" s="301">
        <f>D101-N101</f>
        <v>480567.1000000001</v>
      </c>
      <c r="P101" s="302">
        <f>D101/N101</f>
        <v>1.441016817638239</v>
      </c>
      <c r="Q101" s="301">
        <f>Q79+Q100</f>
        <v>1089679.76</v>
      </c>
      <c r="R101" s="301">
        <f>R79+R100</f>
        <v>269091.6699999999</v>
      </c>
      <c r="S101" s="302">
        <f t="shared" si="40"/>
        <v>1.2469456439201916</v>
      </c>
      <c r="T101" s="309">
        <f>T79+T100</f>
        <v>172273.55000000002</v>
      </c>
      <c r="U101" s="309">
        <f>U79+U100</f>
        <v>57199.97000000005</v>
      </c>
      <c r="V101" s="301">
        <f>U101-T101</f>
        <v>-115073.57999999996</v>
      </c>
      <c r="W101" s="302">
        <f>U101/T101</f>
        <v>0.3320299024429464</v>
      </c>
      <c r="X101" s="363">
        <f>S101-P101</f>
        <v>-0.19407117371804739</v>
      </c>
    </row>
    <row r="102" spans="2:24" ht="15">
      <c r="B102" s="20" t="s">
        <v>34</v>
      </c>
      <c r="U102" s="25"/>
      <c r="X102" s="363"/>
    </row>
    <row r="103" spans="2:24" ht="15">
      <c r="B103" s="4" t="s">
        <v>36</v>
      </c>
      <c r="C103" s="76">
        <v>8</v>
      </c>
      <c r="D103" s="4" t="s">
        <v>35</v>
      </c>
      <c r="U103" s="78"/>
      <c r="X103" s="363"/>
    </row>
    <row r="104" spans="2:24" ht="30.75">
      <c r="B104" s="52" t="s">
        <v>53</v>
      </c>
      <c r="C104" s="29">
        <f>IF(V79&lt;0,ABS(V79/C103),0)</f>
        <v>7077.9724999999935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/>
    </row>
    <row r="105" spans="2:24" ht="34.5" customHeight="1">
      <c r="B105" s="53" t="s">
        <v>55</v>
      </c>
      <c r="C105" s="81">
        <v>43087</v>
      </c>
      <c r="D105" s="29">
        <v>4016.08</v>
      </c>
      <c r="G105" s="4" t="s">
        <v>58</v>
      </c>
      <c r="U105" s="443"/>
      <c r="V105" s="443"/>
      <c r="X105" s="363"/>
    </row>
    <row r="106" spans="3:24" ht="15">
      <c r="C106" s="81">
        <v>43084</v>
      </c>
      <c r="D106" s="29">
        <v>9014.2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/>
    </row>
    <row r="107" spans="3:24" ht="15.75" customHeight="1">
      <c r="C107" s="81">
        <v>43083</v>
      </c>
      <c r="D107" s="29">
        <v>4872.3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/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/>
    </row>
    <row r="109" spans="2:24" ht="18" customHeight="1">
      <c r="B109" s="437" t="s">
        <v>56</v>
      </c>
      <c r="C109" s="438"/>
      <c r="D109" s="133">
        <v>2.41175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/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/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403"/>
      <c r="R111" s="403"/>
      <c r="S111" s="403"/>
      <c r="T111" s="3"/>
      <c r="U111" s="3"/>
      <c r="V111" s="3"/>
      <c r="W111" s="3"/>
      <c r="X111" s="363"/>
    </row>
    <row r="112" spans="2:24" ht="15" hidden="1">
      <c r="B112" s="285" t="s">
        <v>195</v>
      </c>
      <c r="D112" s="68">
        <f>D60+D63+D64</f>
        <v>1530</v>
      </c>
      <c r="E112" s="68">
        <f>E60+E63+E64</f>
        <v>1530</v>
      </c>
      <c r="F112" s="203">
        <f>F60+F63+F64</f>
        <v>1878.08</v>
      </c>
      <c r="G112" s="68">
        <f>G60+G63+G64</f>
        <v>348.08</v>
      </c>
      <c r="H112" s="69"/>
      <c r="I112" s="69"/>
      <c r="Q112" s="3"/>
      <c r="R112" s="3"/>
      <c r="S112" s="3"/>
      <c r="T112" s="113"/>
      <c r="U112" s="113"/>
      <c r="V112" s="113"/>
      <c r="W112" s="3"/>
      <c r="X112" s="363"/>
    </row>
    <row r="113" spans="4:24" ht="15" hidden="1">
      <c r="D113" s="78"/>
      <c r="I113" s="29"/>
      <c r="Q113" s="3"/>
      <c r="R113" s="3"/>
      <c r="S113" s="3"/>
      <c r="T113" s="3"/>
      <c r="U113" s="442"/>
      <c r="V113" s="442"/>
      <c r="W113" s="3"/>
      <c r="X113" s="363"/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1294791.6</v>
      </c>
      <c r="F114" s="229">
        <f>F9+F15+F18+F19+F23+F54+F57+F77+F71</f>
        <v>1260595.8199999998</v>
      </c>
      <c r="G114" s="29">
        <f>F114-E114</f>
        <v>-34195.78000000026</v>
      </c>
      <c r="H114" s="230">
        <f>F114/E114</f>
        <v>0.9735897421639125</v>
      </c>
      <c r="I114" s="29">
        <f>F114-D114</f>
        <v>-34195.78000000026</v>
      </c>
      <c r="J114" s="230">
        <f>F114/D114</f>
        <v>0.9735897421639125</v>
      </c>
      <c r="K114" s="230"/>
      <c r="L114" s="230"/>
      <c r="M114" s="230"/>
      <c r="N114" s="230"/>
      <c r="O114" s="230"/>
      <c r="Q114" s="3"/>
      <c r="R114" s="3"/>
      <c r="S114" s="3"/>
      <c r="T114" s="113"/>
      <c r="U114" s="113"/>
      <c r="V114" s="113"/>
      <c r="W114" s="434"/>
      <c r="X114" s="363"/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62676.5</v>
      </c>
      <c r="F115" s="229">
        <f>F55+F56+F58+F60+F62+F63+F64+F65+F66+F72+F76+F59+F78</f>
        <v>64401.97</v>
      </c>
      <c r="G115" s="29">
        <f>G55+G56+G58+G60+G62+G63+G64+G65+G66+G72+G76+G59</f>
        <v>1730.3499999999979</v>
      </c>
      <c r="H115" s="230">
        <f>F115/E115</f>
        <v>1.0275297759128221</v>
      </c>
      <c r="I115" s="29">
        <f>I55+I56+I58+I60+I62+I63+I64+I65+I66+I72+I76+I59</f>
        <v>1730.3499999999979</v>
      </c>
      <c r="J115" s="230">
        <f>F115/D115</f>
        <v>1.0275297759128221</v>
      </c>
      <c r="K115" s="230"/>
      <c r="L115" s="230"/>
      <c r="M115" s="230"/>
      <c r="N115" s="230"/>
      <c r="O115" s="230"/>
      <c r="Q115" s="113"/>
      <c r="R115" s="113"/>
      <c r="S115" s="113"/>
      <c r="T115" s="113"/>
      <c r="U115" s="113"/>
      <c r="V115" s="113"/>
      <c r="W115" s="434"/>
      <c r="X115" s="363"/>
    </row>
    <row r="116" spans="2:24" ht="15" hidden="1">
      <c r="B116" s="4" t="s">
        <v>121</v>
      </c>
      <c r="D116" s="29">
        <f>SUM(D114:D115)</f>
        <v>1357468.1</v>
      </c>
      <c r="E116" s="29">
        <f>SUM(E114:E115)</f>
        <v>1357468.1</v>
      </c>
      <c r="F116" s="29">
        <f>SUM(F114:F115)</f>
        <v>1324997.7899999998</v>
      </c>
      <c r="G116" s="29">
        <f>SUM(G114:G115)</f>
        <v>-32465.430000000262</v>
      </c>
      <c r="H116" s="230">
        <f>F116/E116</f>
        <v>0.9760802408542785</v>
      </c>
      <c r="I116" s="29">
        <f>SUM(I114:I115)</f>
        <v>-32465.430000000262</v>
      </c>
      <c r="J116" s="230">
        <f>F116/D116</f>
        <v>0.9760802408542785</v>
      </c>
      <c r="K116" s="230"/>
      <c r="L116" s="230"/>
      <c r="M116" s="230"/>
      <c r="N116" s="230"/>
      <c r="O116" s="230"/>
      <c r="Q116" s="113"/>
      <c r="R116" s="113"/>
      <c r="S116" s="113"/>
      <c r="T116" s="113"/>
      <c r="U116" s="113"/>
      <c r="V116" s="113"/>
      <c r="W116" s="434"/>
      <c r="X116" s="363"/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113"/>
      <c r="R117" s="113"/>
      <c r="S117" s="113"/>
      <c r="T117" s="113"/>
      <c r="U117" s="113"/>
      <c r="V117" s="113"/>
      <c r="W117" s="113"/>
      <c r="X117" s="363"/>
    </row>
    <row r="118" spans="5:24" ht="15" hidden="1">
      <c r="E118" s="4" t="s">
        <v>58</v>
      </c>
      <c r="Q118" s="3"/>
      <c r="R118" s="3"/>
      <c r="S118" s="3"/>
      <c r="T118" s="3"/>
      <c r="U118" s="3"/>
      <c r="V118" s="3"/>
      <c r="W118" s="3"/>
      <c r="X118" s="363"/>
    </row>
    <row r="119" spans="2:24" ht="15" hidden="1">
      <c r="B119" s="245" t="s">
        <v>165</v>
      </c>
      <c r="E119" s="29">
        <f>E79-E9-E20-E35-E47</f>
        <v>149760.0000000001</v>
      </c>
      <c r="X119" s="363"/>
    </row>
    <row r="120" spans="2:24" ht="15" hidden="1">
      <c r="B120" s="245" t="s">
        <v>166</v>
      </c>
      <c r="E120" s="29">
        <f>E100-E95-E88-E89</f>
        <v>79090</v>
      </c>
      <c r="X120" s="363"/>
    </row>
    <row r="121" ht="15" hidden="1">
      <c r="X121" s="363"/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/>
    </row>
    <row r="123" spans="2:24" ht="23.25" customHeight="1" hidden="1">
      <c r="B123" s="14" t="s">
        <v>31</v>
      </c>
      <c r="C123" s="66"/>
      <c r="D123" s="191">
        <f>D100+D122</f>
        <v>285163.98</v>
      </c>
      <c r="E123" s="191">
        <f>E100+E122</f>
        <v>230857.82</v>
      </c>
      <c r="F123" s="191">
        <f>F100+F122</f>
        <v>54004.090000000004</v>
      </c>
      <c r="G123" s="192">
        <f>F123-E123</f>
        <v>-176853.73</v>
      </c>
      <c r="H123" s="193">
        <f>F123/E123*100</f>
        <v>23.39279215232995</v>
      </c>
      <c r="I123" s="194">
        <f>F123-D123</f>
        <v>-231159.88999999998</v>
      </c>
      <c r="J123" s="194">
        <f>F123/D123*100</f>
        <v>18.937907234988096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50964.22</v>
      </c>
      <c r="S123" s="269">
        <f>F123/Q123</f>
        <v>17.76526298821989</v>
      </c>
      <c r="T123" s="272"/>
      <c r="U123" s="272"/>
      <c r="V123" s="273"/>
      <c r="W123" s="273"/>
      <c r="X123" s="363"/>
    </row>
    <row r="124" spans="2:24" ht="17.25" hidden="1">
      <c r="B124" s="21" t="s">
        <v>181</v>
      </c>
      <c r="C124" s="66"/>
      <c r="D124" s="191">
        <f>D123+D79</f>
        <v>1642655.08</v>
      </c>
      <c r="E124" s="191">
        <f>E123+E79</f>
        <v>1588348.9200000002</v>
      </c>
      <c r="F124" s="191">
        <f>F123+F79</f>
        <v>1379025.75</v>
      </c>
      <c r="G124" s="192">
        <f>F124-E124</f>
        <v>-209323.17000000016</v>
      </c>
      <c r="H124" s="193">
        <f>F124/E124*100</f>
        <v>86.82133583092056</v>
      </c>
      <c r="I124" s="194">
        <f>F124-D124</f>
        <v>-263629.3300000001</v>
      </c>
      <c r="J124" s="194">
        <f>F124/D124*100</f>
        <v>83.95102336395539</v>
      </c>
      <c r="K124" s="194"/>
      <c r="L124" s="194"/>
      <c r="M124" s="194"/>
      <c r="N124" s="194"/>
      <c r="O124" s="194"/>
      <c r="P124" s="221"/>
      <c r="Q124" s="194">
        <f>Q101+Q123</f>
        <v>1092719.6300000001</v>
      </c>
      <c r="R124" s="194">
        <f>F124-Q124</f>
        <v>286306.1199999999</v>
      </c>
      <c r="S124" s="269">
        <f>F124/Q124</f>
        <v>1.2620124249072013</v>
      </c>
      <c r="T124" s="274"/>
      <c r="U124" s="274"/>
      <c r="V124" s="273"/>
      <c r="W124" s="273"/>
      <c r="X124" s="363"/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/>
    </row>
    <row r="126" spans="2:24" ht="26.25" hidden="1">
      <c r="B126" s="240" t="s">
        <v>160</v>
      </c>
      <c r="C126" s="239">
        <v>41033900</v>
      </c>
      <c r="D126" s="244">
        <v>243334.5</v>
      </c>
      <c r="E126" s="244">
        <v>56191.6</v>
      </c>
      <c r="F126" s="244">
        <v>56191.6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/>
    </row>
    <row r="127" spans="2:24" ht="26.25" hidden="1">
      <c r="B127" s="240" t="s">
        <v>161</v>
      </c>
      <c r="C127" s="239">
        <v>41034200</v>
      </c>
      <c r="D127" s="244">
        <v>238249.5</v>
      </c>
      <c r="E127" s="244">
        <v>59541.9</v>
      </c>
      <c r="F127" s="244">
        <v>59541.9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/>
    </row>
    <row r="128" spans="2:24" s="242" customFormat="1" ht="25.5" customHeight="1" hidden="1">
      <c r="B128" s="275" t="s">
        <v>158</v>
      </c>
      <c r="C128" s="276"/>
      <c r="D128" s="277" t="e">
        <f>D124+D125</f>
        <v>#N/A</v>
      </c>
      <c r="E128" s="277" t="e">
        <f>E124+E125</f>
        <v>#N/A</v>
      </c>
      <c r="F128" s="277" t="e">
        <f>F124+F125</f>
        <v>#N/A</v>
      </c>
      <c r="G128" s="278" t="e">
        <f>#N/A</f>
        <v>#N/A</v>
      </c>
      <c r="H128" s="277" t="e">
        <f>#N/A</f>
        <v>#N/A</v>
      </c>
      <c r="I128" s="279" t="e">
        <f>#N/A</f>
        <v>#N/A</v>
      </c>
      <c r="J128" s="279" t="e">
        <f>#N/A</f>
        <v>#N/A</v>
      </c>
      <c r="K128" s="314"/>
      <c r="L128" s="314"/>
      <c r="M128" s="314"/>
      <c r="N128" s="314"/>
      <c r="O128" s="314"/>
      <c r="P128" s="347"/>
      <c r="W128" s="243"/>
      <c r="X128" s="363"/>
    </row>
    <row r="129" ht="15" hidden="1">
      <c r="X129" s="363"/>
    </row>
    <row r="130" ht="15" hidden="1">
      <c r="X130" s="363"/>
    </row>
    <row r="131" ht="15" hidden="1">
      <c r="X131" s="363"/>
    </row>
    <row r="132" ht="15" hidden="1">
      <c r="X132" s="363"/>
    </row>
    <row r="133" ht="15" hidden="1">
      <c r="X133" s="363"/>
    </row>
    <row r="134" ht="15" hidden="1">
      <c r="X134" s="363"/>
    </row>
    <row r="135" spans="2:24" ht="15" hidden="1">
      <c r="B135" s="360" t="s">
        <v>285</v>
      </c>
      <c r="X135" s="363"/>
    </row>
    <row r="136" spans="1:24" s="6" customFormat="1" ht="30.75" customHeight="1" hidden="1">
      <c r="A136" s="8"/>
      <c r="B136" s="351" t="str">
        <f>B17</f>
        <v>Рентна плата за спеціальне використання лісових ресурсів</v>
      </c>
      <c r="C136" s="396">
        <f>C17</f>
        <v>13010200</v>
      </c>
      <c r="D136" s="412">
        <f aca="true" t="shared" si="46" ref="D136:S136">D17</f>
        <v>0</v>
      </c>
      <c r="E136" s="412">
        <f t="shared" si="46"/>
        <v>0</v>
      </c>
      <c r="F136" s="414">
        <f t="shared" si="46"/>
        <v>0.49</v>
      </c>
      <c r="G136" s="412">
        <f t="shared" si="46"/>
        <v>0.49</v>
      </c>
      <c r="H136" s="423">
        <f t="shared" si="46"/>
        <v>0</v>
      </c>
      <c r="I136" s="422">
        <f t="shared" si="46"/>
        <v>0.49</v>
      </c>
      <c r="J136" s="423">
        <f t="shared" si="46"/>
        <v>0</v>
      </c>
      <c r="K136" s="225">
        <f t="shared" si="46"/>
        <v>0</v>
      </c>
      <c r="L136" s="225">
        <f t="shared" si="46"/>
        <v>0</v>
      </c>
      <c r="M136" s="225">
        <f t="shared" si="46"/>
        <v>0</v>
      </c>
      <c r="N136" s="422">
        <f t="shared" si="46"/>
        <v>0.17</v>
      </c>
      <c r="O136" s="422">
        <f t="shared" si="46"/>
        <v>-0.17</v>
      </c>
      <c r="P136" s="423">
        <f t="shared" si="46"/>
        <v>0</v>
      </c>
      <c r="Q136" s="422">
        <f t="shared" si="46"/>
        <v>0.17</v>
      </c>
      <c r="R136" s="421">
        <f t="shared" si="46"/>
        <v>0.31999999999999995</v>
      </c>
      <c r="S136" s="423">
        <f t="shared" si="46"/>
        <v>2.88235294117647</v>
      </c>
      <c r="T136" s="399"/>
      <c r="U136" s="399"/>
      <c r="V136" s="399"/>
      <c r="W136" s="399"/>
      <c r="X136" s="363">
        <f aca="true" t="shared" si="47" ref="X136:X145">S136-P136</f>
        <v>2.88235294117647</v>
      </c>
    </row>
    <row r="137" spans="1:24" s="6" customFormat="1" ht="30.75" hidden="1">
      <c r="A137" s="8"/>
      <c r="B137" s="352" t="str">
        <f>B18</f>
        <v>Рентна плата за користування надрами для видобування корисних копалин місцевого значення</v>
      </c>
      <c r="C137" s="396">
        <f>C18</f>
        <v>13030200</v>
      </c>
      <c r="D137" s="412">
        <f aca="true" t="shared" si="48" ref="D137:S137">D18</f>
        <v>125</v>
      </c>
      <c r="E137" s="412">
        <f t="shared" si="48"/>
        <v>125</v>
      </c>
      <c r="F137" s="414">
        <f t="shared" si="48"/>
        <v>220.59</v>
      </c>
      <c r="G137" s="412">
        <f t="shared" si="48"/>
        <v>95.59</v>
      </c>
      <c r="H137" s="423">
        <f t="shared" si="48"/>
        <v>1.76472</v>
      </c>
      <c r="I137" s="412">
        <f t="shared" si="48"/>
        <v>95.59</v>
      </c>
      <c r="J137" s="423">
        <f t="shared" si="48"/>
        <v>176.472</v>
      </c>
      <c r="K137" s="130">
        <f t="shared" si="48"/>
        <v>0</v>
      </c>
      <c r="L137" s="130">
        <f t="shared" si="48"/>
        <v>0</v>
      </c>
      <c r="M137" s="130">
        <f t="shared" si="48"/>
        <v>0</v>
      </c>
      <c r="N137" s="422">
        <f t="shared" si="48"/>
        <v>124.7</v>
      </c>
      <c r="O137" s="422">
        <f t="shared" si="48"/>
        <v>0.29999999999999716</v>
      </c>
      <c r="P137" s="423">
        <f t="shared" si="48"/>
        <v>1.0024057738572574</v>
      </c>
      <c r="Q137" s="422">
        <f t="shared" si="48"/>
        <v>124.7</v>
      </c>
      <c r="R137" s="421">
        <f t="shared" si="48"/>
        <v>95.89</v>
      </c>
      <c r="S137" s="423">
        <f t="shared" si="48"/>
        <v>1.7689655172413794</v>
      </c>
      <c r="T137" s="400"/>
      <c r="U137" s="400"/>
      <c r="V137" s="400"/>
      <c r="W137" s="400"/>
      <c r="X137" s="363">
        <f t="shared" si="47"/>
        <v>0.766559743384122</v>
      </c>
    </row>
    <row r="138" spans="1:24" s="6" customFormat="1" ht="15" hidden="1">
      <c r="A138" s="8"/>
      <c r="B138" s="353" t="str">
        <f aca="true" t="shared" si="49" ref="B138:C141">B56</f>
        <v>Інші надходження (по актам ДФІУ)</v>
      </c>
      <c r="C138" s="397">
        <f t="shared" si="49"/>
        <v>21080500</v>
      </c>
      <c r="D138" s="415">
        <f aca="true" t="shared" si="50" ref="D138:S138">D56</f>
        <v>40</v>
      </c>
      <c r="E138" s="415">
        <f t="shared" si="50"/>
        <v>40</v>
      </c>
      <c r="F138" s="416">
        <f t="shared" si="50"/>
        <v>153.3</v>
      </c>
      <c r="G138" s="415">
        <f t="shared" si="50"/>
        <v>113.30000000000001</v>
      </c>
      <c r="H138" s="424">
        <f t="shared" si="50"/>
        <v>3.8325000000000005</v>
      </c>
      <c r="I138" s="421">
        <f t="shared" si="50"/>
        <v>113.30000000000001</v>
      </c>
      <c r="J138" s="424">
        <f t="shared" si="50"/>
        <v>3.8325000000000005</v>
      </c>
      <c r="K138" s="129">
        <f t="shared" si="50"/>
        <v>0</v>
      </c>
      <c r="L138" s="129">
        <f t="shared" si="50"/>
        <v>0</v>
      </c>
      <c r="M138" s="129">
        <f t="shared" si="50"/>
        <v>0</v>
      </c>
      <c r="N138" s="421">
        <f t="shared" si="50"/>
        <v>31.98</v>
      </c>
      <c r="O138" s="421">
        <f t="shared" si="50"/>
        <v>8.02</v>
      </c>
      <c r="P138" s="424">
        <f t="shared" si="50"/>
        <v>1.2507817385866167</v>
      </c>
      <c r="Q138" s="421">
        <f t="shared" si="50"/>
        <v>31.98</v>
      </c>
      <c r="R138" s="421">
        <f t="shared" si="50"/>
        <v>121.32000000000001</v>
      </c>
      <c r="S138" s="423">
        <f t="shared" si="50"/>
        <v>4.793621013133208</v>
      </c>
      <c r="T138" s="399"/>
      <c r="U138" s="399"/>
      <c r="V138" s="399"/>
      <c r="W138" s="399"/>
      <c r="X138" s="363">
        <f t="shared" si="47"/>
        <v>3.5428392745465915</v>
      </c>
    </row>
    <row r="139" spans="1:24" s="6" customFormat="1" ht="30.75" hidden="1">
      <c r="A139" s="8"/>
      <c r="B139" s="354" t="str">
        <f t="shared" si="49"/>
        <v>Штрафні санкції за порушення законодавства про патентування</v>
      </c>
      <c r="C139" s="398">
        <f t="shared" si="49"/>
        <v>21080900</v>
      </c>
      <c r="D139" s="417">
        <f aca="true" t="shared" si="51" ref="D139:S139">D57</f>
        <v>13</v>
      </c>
      <c r="E139" s="417">
        <f t="shared" si="51"/>
        <v>13</v>
      </c>
      <c r="F139" s="418">
        <f t="shared" si="51"/>
        <v>12.95</v>
      </c>
      <c r="G139" s="417">
        <f t="shared" si="51"/>
        <v>-0.05000000000000071</v>
      </c>
      <c r="H139" s="425">
        <f t="shared" si="51"/>
        <v>0.9961538461538461</v>
      </c>
      <c r="I139" s="417">
        <f t="shared" si="51"/>
        <v>-0.05000000000000071</v>
      </c>
      <c r="J139" s="425">
        <f t="shared" si="51"/>
        <v>0.9961538461538461</v>
      </c>
      <c r="K139" s="238">
        <f t="shared" si="51"/>
        <v>0</v>
      </c>
      <c r="L139" s="238">
        <f t="shared" si="51"/>
        <v>0</v>
      </c>
      <c r="M139" s="238">
        <f t="shared" si="51"/>
        <v>0</v>
      </c>
      <c r="N139" s="426">
        <f t="shared" si="51"/>
        <v>0.1</v>
      </c>
      <c r="O139" s="426">
        <f t="shared" si="51"/>
        <v>12.9</v>
      </c>
      <c r="P139" s="425">
        <f t="shared" si="51"/>
        <v>130</v>
      </c>
      <c r="Q139" s="426">
        <f t="shared" si="51"/>
        <v>0.1</v>
      </c>
      <c r="R139" s="426">
        <f t="shared" si="51"/>
        <v>12.85</v>
      </c>
      <c r="S139" s="430">
        <f t="shared" si="51"/>
        <v>0</v>
      </c>
      <c r="T139" s="401"/>
      <c r="U139" s="401"/>
      <c r="V139" s="401"/>
      <c r="W139" s="401"/>
      <c r="X139" s="363">
        <f t="shared" si="47"/>
        <v>-130</v>
      </c>
    </row>
    <row r="140" spans="1:24" s="6" customFormat="1" ht="15" hidden="1">
      <c r="A140" s="8"/>
      <c r="B140" s="352" t="str">
        <f t="shared" si="49"/>
        <v>Адмінстративні штрафи та інші санкції</v>
      </c>
      <c r="C140" s="396">
        <f t="shared" si="49"/>
        <v>21081100</v>
      </c>
      <c r="D140" s="412">
        <f aca="true" t="shared" si="52" ref="D140:S140">D58</f>
        <v>660</v>
      </c>
      <c r="E140" s="412">
        <f t="shared" si="52"/>
        <v>660</v>
      </c>
      <c r="F140" s="414">
        <f t="shared" si="52"/>
        <v>688.65</v>
      </c>
      <c r="G140" s="412">
        <f t="shared" si="52"/>
        <v>28.649999999999977</v>
      </c>
      <c r="H140" s="423">
        <f t="shared" si="52"/>
        <v>1.043409090909091</v>
      </c>
      <c r="I140" s="412">
        <f t="shared" si="52"/>
        <v>28.649999999999977</v>
      </c>
      <c r="J140" s="423">
        <f t="shared" si="52"/>
        <v>1.043409090909091</v>
      </c>
      <c r="K140" s="130">
        <f t="shared" si="52"/>
        <v>0</v>
      </c>
      <c r="L140" s="130">
        <f t="shared" si="52"/>
        <v>0</v>
      </c>
      <c r="M140" s="130">
        <f t="shared" si="52"/>
        <v>0</v>
      </c>
      <c r="N140" s="422">
        <f t="shared" si="52"/>
        <v>241.07</v>
      </c>
      <c r="O140" s="422">
        <f t="shared" si="52"/>
        <v>418.93</v>
      </c>
      <c r="P140" s="423">
        <f t="shared" si="52"/>
        <v>2.7377940017422326</v>
      </c>
      <c r="Q140" s="422">
        <f t="shared" si="52"/>
        <v>241.07</v>
      </c>
      <c r="R140" s="421">
        <f t="shared" si="52"/>
        <v>447.58</v>
      </c>
      <c r="S140" s="423">
        <f t="shared" si="52"/>
        <v>2.856639150454225</v>
      </c>
      <c r="T140" s="400"/>
      <c r="U140" s="400"/>
      <c r="V140" s="400"/>
      <c r="W140" s="400"/>
      <c r="X140" s="363">
        <f t="shared" si="47"/>
        <v>0.11884514871199237</v>
      </c>
    </row>
    <row r="141" spans="1:24" s="6" customFormat="1" ht="46.5" hidden="1">
      <c r="A141" s="8"/>
      <c r="B141" s="3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96">
        <f t="shared" si="49"/>
        <v>21081500</v>
      </c>
      <c r="D141" s="412">
        <f aca="true" t="shared" si="53" ref="D141:S141">D59</f>
        <v>97.5</v>
      </c>
      <c r="E141" s="412">
        <f t="shared" si="53"/>
        <v>97.5</v>
      </c>
      <c r="F141" s="414">
        <f t="shared" si="53"/>
        <v>108.65</v>
      </c>
      <c r="G141" s="412">
        <f t="shared" si="53"/>
        <v>11.150000000000006</v>
      </c>
      <c r="H141" s="423">
        <f t="shared" si="53"/>
        <v>1.1143589743589744</v>
      </c>
      <c r="I141" s="412">
        <f t="shared" si="53"/>
        <v>11.150000000000006</v>
      </c>
      <c r="J141" s="423">
        <f t="shared" si="53"/>
        <v>1.1143589743589744</v>
      </c>
      <c r="K141" s="130">
        <f t="shared" si="53"/>
        <v>0</v>
      </c>
      <c r="L141" s="130">
        <f t="shared" si="53"/>
        <v>0</v>
      </c>
      <c r="M141" s="130">
        <f t="shared" si="53"/>
        <v>0</v>
      </c>
      <c r="N141" s="422">
        <f t="shared" si="53"/>
        <v>86.37</v>
      </c>
      <c r="O141" s="422">
        <f t="shared" si="53"/>
        <v>11.129999999999995</v>
      </c>
      <c r="P141" s="423">
        <f t="shared" si="53"/>
        <v>1.1288641889544981</v>
      </c>
      <c r="Q141" s="422">
        <f t="shared" si="53"/>
        <v>86.37</v>
      </c>
      <c r="R141" s="421">
        <f t="shared" si="53"/>
        <v>22.28</v>
      </c>
      <c r="S141" s="423">
        <f t="shared" si="53"/>
        <v>1.2579599397939099</v>
      </c>
      <c r="T141" s="400"/>
      <c r="U141" s="400"/>
      <c r="V141" s="400"/>
      <c r="W141" s="400"/>
      <c r="X141" s="363">
        <f t="shared" si="47"/>
        <v>0.12909575083941172</v>
      </c>
    </row>
    <row r="142" spans="1:24" s="6" customFormat="1" ht="46.5" hidden="1">
      <c r="A142" s="8"/>
      <c r="B142" s="3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96" t="str">
        <f>C71</f>
        <v>24030000</v>
      </c>
      <c r="D142" s="412">
        <f aca="true" t="shared" si="54" ref="D142:S142">D71</f>
        <v>2.5</v>
      </c>
      <c r="E142" s="412">
        <f t="shared" si="54"/>
        <v>2.5</v>
      </c>
      <c r="F142" s="414">
        <f t="shared" si="54"/>
        <v>2.04</v>
      </c>
      <c r="G142" s="412">
        <f t="shared" si="54"/>
        <v>-0.45999999999999996</v>
      </c>
      <c r="H142" s="423">
        <f t="shared" si="54"/>
        <v>0.8160000000000001</v>
      </c>
      <c r="I142" s="412">
        <f t="shared" si="54"/>
        <v>-0.45999999999999996</v>
      </c>
      <c r="J142" s="423">
        <f t="shared" si="54"/>
        <v>0.8160000000000001</v>
      </c>
      <c r="K142" s="130">
        <f t="shared" si="54"/>
        <v>0</v>
      </c>
      <c r="L142" s="130">
        <f t="shared" si="54"/>
        <v>0</v>
      </c>
      <c r="M142" s="130">
        <f t="shared" si="54"/>
        <v>0</v>
      </c>
      <c r="N142" s="422">
        <f t="shared" si="54"/>
        <v>2.46</v>
      </c>
      <c r="O142" s="422">
        <f t="shared" si="54"/>
        <v>0.040000000000000036</v>
      </c>
      <c r="P142" s="423">
        <f t="shared" si="54"/>
        <v>1.016260162601626</v>
      </c>
      <c r="Q142" s="422">
        <f t="shared" si="54"/>
        <v>2.46</v>
      </c>
      <c r="R142" s="421">
        <f t="shared" si="54"/>
        <v>-0.41999999999999993</v>
      </c>
      <c r="S142" s="423">
        <f t="shared" si="54"/>
        <v>0.8292682926829269</v>
      </c>
      <c r="T142" s="400"/>
      <c r="U142" s="400"/>
      <c r="V142" s="400"/>
      <c r="W142" s="400"/>
      <c r="X142" s="363">
        <f t="shared" si="47"/>
        <v>-0.1869918699186992</v>
      </c>
    </row>
    <row r="143" spans="1:24" s="6" customFormat="1" ht="15" hidden="1">
      <c r="A143" s="8"/>
      <c r="B143" s="358" t="str">
        <f>B77</f>
        <v>Надходження коштів від реалізації безхазяйного майна</v>
      </c>
      <c r="C143" s="396">
        <f>C77</f>
        <v>31010200</v>
      </c>
      <c r="D143" s="419">
        <f aca="true" t="shared" si="55" ref="D143:S143">D77</f>
        <v>15</v>
      </c>
      <c r="E143" s="419">
        <f t="shared" si="55"/>
        <v>15</v>
      </c>
      <c r="F143" s="420">
        <f t="shared" si="55"/>
        <v>34.22</v>
      </c>
      <c r="G143" s="419">
        <f t="shared" si="55"/>
        <v>19.22</v>
      </c>
      <c r="H143" s="409">
        <f t="shared" si="55"/>
        <v>2.2813333333333334</v>
      </c>
      <c r="I143" s="419">
        <f t="shared" si="55"/>
        <v>19.22</v>
      </c>
      <c r="J143" s="409">
        <f t="shared" si="55"/>
        <v>2.2813333333333334</v>
      </c>
      <c r="K143" s="131">
        <f t="shared" si="55"/>
        <v>0</v>
      </c>
      <c r="L143" s="131">
        <f t="shared" si="55"/>
        <v>0</v>
      </c>
      <c r="M143" s="131">
        <f t="shared" si="55"/>
        <v>0</v>
      </c>
      <c r="N143" s="427">
        <f t="shared" si="55"/>
        <v>13.52</v>
      </c>
      <c r="O143" s="427">
        <f t="shared" si="55"/>
        <v>1.4800000000000004</v>
      </c>
      <c r="P143" s="409">
        <f t="shared" si="55"/>
        <v>1.1094674556213018</v>
      </c>
      <c r="Q143" s="427">
        <f t="shared" si="55"/>
        <v>13.52</v>
      </c>
      <c r="R143" s="428">
        <f t="shared" si="55"/>
        <v>20.7</v>
      </c>
      <c r="S143" s="409">
        <f t="shared" si="55"/>
        <v>2.5310650887573964</v>
      </c>
      <c r="T143" s="402"/>
      <c r="U143" s="402"/>
      <c r="V143" s="402"/>
      <c r="W143" s="402"/>
      <c r="X143" s="363">
        <f t="shared" si="47"/>
        <v>1.4215976331360947</v>
      </c>
    </row>
    <row r="144" spans="1:24" s="6" customFormat="1" ht="30.75" hidden="1">
      <c r="A144" s="8"/>
      <c r="B144" s="358" t="str">
        <f>B78</f>
        <v>Надходження коштів від Держ фонду дорогоцінних металів та дорогоцінного каміння</v>
      </c>
      <c r="C144" s="396">
        <f>C78</f>
        <v>31020000</v>
      </c>
      <c r="D144" s="419">
        <f aca="true" t="shared" si="56" ref="D144:S144">D78</f>
        <v>0</v>
      </c>
      <c r="E144" s="419">
        <f t="shared" si="56"/>
        <v>0</v>
      </c>
      <c r="F144" s="420">
        <f t="shared" si="56"/>
        <v>-4.88</v>
      </c>
      <c r="G144" s="419">
        <f t="shared" si="56"/>
        <v>-4.88</v>
      </c>
      <c r="H144" s="409" t="e">
        <f t="shared" si="56"/>
        <v>#DIV/0!</v>
      </c>
      <c r="I144" s="419">
        <f t="shared" si="56"/>
        <v>-4.88</v>
      </c>
      <c r="J144" s="409">
        <f t="shared" si="56"/>
        <v>0</v>
      </c>
      <c r="K144" s="131">
        <f t="shared" si="56"/>
        <v>0</v>
      </c>
      <c r="L144" s="131">
        <f t="shared" si="56"/>
        <v>0</v>
      </c>
      <c r="M144" s="131">
        <f t="shared" si="56"/>
        <v>0</v>
      </c>
      <c r="N144" s="427">
        <f t="shared" si="56"/>
        <v>7.37</v>
      </c>
      <c r="O144" s="427">
        <f t="shared" si="56"/>
        <v>-7.37</v>
      </c>
      <c r="P144" s="409">
        <f t="shared" si="56"/>
        <v>0</v>
      </c>
      <c r="Q144" s="427">
        <f t="shared" si="56"/>
        <v>7.37</v>
      </c>
      <c r="R144" s="428">
        <f t="shared" si="56"/>
        <v>-12.25</v>
      </c>
      <c r="S144" s="409">
        <f t="shared" si="56"/>
        <v>-0.6621438263229308</v>
      </c>
      <c r="T144" s="402"/>
      <c r="U144" s="402"/>
      <c r="V144" s="402"/>
      <c r="W144" s="402"/>
      <c r="X144" s="363">
        <f t="shared" si="47"/>
        <v>-0.6621438263229308</v>
      </c>
    </row>
    <row r="145" spans="4:24" ht="15" hidden="1">
      <c r="D145" s="406">
        <f>D136+D137+D138+D139+D140+D141+D142+D143+D144</f>
        <v>953</v>
      </c>
      <c r="E145" s="406">
        <f>E136+E137+E138+E139+E140+E141+E142+E143+E144</f>
        <v>953</v>
      </c>
      <c r="F145" s="407">
        <f>F136+F137+F138+F139+F140+F141+F142+F143+F144</f>
        <v>1216.01</v>
      </c>
      <c r="G145" s="406">
        <f>F145-E145</f>
        <v>263.01</v>
      </c>
      <c r="H145" s="339">
        <f>F145/E145</f>
        <v>1.27598111227702</v>
      </c>
      <c r="I145" s="406">
        <f>F145-D145</f>
        <v>263.01</v>
      </c>
      <c r="J145" s="339">
        <f>F145/D145</f>
        <v>1.27598111227702</v>
      </c>
      <c r="K145" s="90"/>
      <c r="L145" s="90"/>
      <c r="M145" s="90"/>
      <c r="N145" s="406">
        <f>N136+N137+N138+N139+N140+N141+N142+N143+N144</f>
        <v>507.73999999999995</v>
      </c>
      <c r="O145" s="406">
        <f>D145-N145</f>
        <v>445.26000000000005</v>
      </c>
      <c r="P145" s="339">
        <f>D145/N145</f>
        <v>1.876944893055501</v>
      </c>
      <c r="Q145" s="406">
        <f>Q136+Q137+Q138+Q139+Q140+Q141+Q142+Q143+Q144</f>
        <v>507.73999999999995</v>
      </c>
      <c r="R145" s="406">
        <f>F145-Q145</f>
        <v>708.27</v>
      </c>
      <c r="S145" s="429">
        <f>F145/Q145</f>
        <v>2.3949462323236306</v>
      </c>
      <c r="T145" s="403"/>
      <c r="U145" s="403"/>
      <c r="V145" s="403"/>
      <c r="W145" s="403"/>
      <c r="X145" s="366">
        <f t="shared" si="47"/>
        <v>0.5180013392681295</v>
      </c>
    </row>
    <row r="146" spans="19:24" ht="15" hidden="1">
      <c r="S146" s="69"/>
      <c r="T146" s="403"/>
      <c r="U146" s="403"/>
      <c r="V146" s="403"/>
      <c r="W146" s="403"/>
      <c r="X146" s="363"/>
    </row>
    <row r="147" spans="2:24" ht="15" hidden="1">
      <c r="B147" s="284" t="s">
        <v>255</v>
      </c>
      <c r="S147" s="69"/>
      <c r="T147" s="403"/>
      <c r="U147" s="403"/>
      <c r="V147" s="403"/>
      <c r="W147" s="403"/>
      <c r="X147" s="363"/>
    </row>
    <row r="148" spans="1:24" s="6" customFormat="1" ht="30.75" hidden="1">
      <c r="A148" s="8"/>
      <c r="B148" s="350" t="str">
        <f aca="true" t="shared" si="57" ref="B148:C152">B60</f>
        <v>Адміністративний збір за проведення державної реєстрації юридичних осіб та фізичних осіб - підпр</v>
      </c>
      <c r="C148" s="393">
        <f t="shared" si="57"/>
        <v>22010300</v>
      </c>
      <c r="D148" s="412">
        <f aca="true" t="shared" si="58" ref="D148:S148">D60</f>
        <v>980</v>
      </c>
      <c r="E148" s="412">
        <f t="shared" si="58"/>
        <v>980</v>
      </c>
      <c r="F148" s="414">
        <f t="shared" si="58"/>
        <v>1157.04</v>
      </c>
      <c r="G148" s="412">
        <f t="shared" si="58"/>
        <v>177.03999999999996</v>
      </c>
      <c r="H148" s="410">
        <f t="shared" si="58"/>
        <v>1.1806530612244897</v>
      </c>
      <c r="I148" s="412">
        <f t="shared" si="58"/>
        <v>177.03999999999996</v>
      </c>
      <c r="J148" s="410">
        <f t="shared" si="58"/>
        <v>1.1806530612244897</v>
      </c>
      <c r="K148" s="130">
        <f t="shared" si="58"/>
        <v>0</v>
      </c>
      <c r="L148" s="130">
        <f t="shared" si="58"/>
        <v>0</v>
      </c>
      <c r="M148" s="130">
        <f t="shared" si="58"/>
        <v>0</v>
      </c>
      <c r="N148" s="412">
        <f t="shared" si="58"/>
        <v>791.33</v>
      </c>
      <c r="O148" s="412">
        <f t="shared" si="58"/>
        <v>188.66999999999996</v>
      </c>
      <c r="P148" s="410">
        <f t="shared" si="58"/>
        <v>1.238421391834001</v>
      </c>
      <c r="Q148" s="412">
        <f t="shared" si="58"/>
        <v>791.33</v>
      </c>
      <c r="R148" s="415">
        <f t="shared" si="58"/>
        <v>365.7099999999999</v>
      </c>
      <c r="S148" s="410">
        <f t="shared" si="58"/>
        <v>1.4621460073547066</v>
      </c>
      <c r="T148" s="400"/>
      <c r="U148" s="400"/>
      <c r="V148" s="400"/>
      <c r="W148" s="400"/>
      <c r="X148" s="363">
        <f aca="true" t="shared" si="59" ref="X148:X153">S148-P148</f>
        <v>0.22372461552070555</v>
      </c>
    </row>
    <row r="149" spans="1:24" s="6" customFormat="1" ht="15" hidden="1">
      <c r="A149" s="8"/>
      <c r="B149" s="350" t="str">
        <f t="shared" si="57"/>
        <v>Плата за сертифікати</v>
      </c>
      <c r="C149" s="393">
        <f t="shared" si="57"/>
        <v>22010200</v>
      </c>
      <c r="D149" s="412">
        <f aca="true" t="shared" si="60" ref="D149:S149">D61</f>
        <v>23</v>
      </c>
      <c r="E149" s="412">
        <f t="shared" si="60"/>
        <v>23</v>
      </c>
      <c r="F149" s="414">
        <f t="shared" si="60"/>
        <v>23.38</v>
      </c>
      <c r="G149" s="412">
        <f t="shared" si="60"/>
        <v>0.379999999999999</v>
      </c>
      <c r="H149" s="410">
        <f t="shared" si="60"/>
        <v>1.0165217391304346</v>
      </c>
      <c r="I149" s="412">
        <f t="shared" si="60"/>
        <v>0.379999999999999</v>
      </c>
      <c r="J149" s="410">
        <f t="shared" si="60"/>
        <v>1.0165217391304346</v>
      </c>
      <c r="K149" s="130">
        <f t="shared" si="60"/>
        <v>0</v>
      </c>
      <c r="L149" s="130">
        <f t="shared" si="60"/>
        <v>0</v>
      </c>
      <c r="M149" s="130">
        <f t="shared" si="60"/>
        <v>0</v>
      </c>
      <c r="N149" s="412">
        <f t="shared" si="60"/>
        <v>0</v>
      </c>
      <c r="O149" s="412">
        <f t="shared" si="60"/>
        <v>23</v>
      </c>
      <c r="P149" s="410" t="e">
        <f t="shared" si="60"/>
        <v>#DIV/0!</v>
      </c>
      <c r="Q149" s="412">
        <f t="shared" si="60"/>
        <v>0</v>
      </c>
      <c r="R149" s="415">
        <f t="shared" si="60"/>
        <v>23.38</v>
      </c>
      <c r="S149" s="410">
        <f t="shared" si="60"/>
        <v>0</v>
      </c>
      <c r="T149" s="400"/>
      <c r="U149" s="400"/>
      <c r="V149" s="400"/>
      <c r="W149" s="400"/>
      <c r="X149" s="363" t="e">
        <f t="shared" si="59"/>
        <v>#DIV/0!</v>
      </c>
    </row>
    <row r="150" spans="1:24" s="6" customFormat="1" ht="15" hidden="1">
      <c r="A150" s="8"/>
      <c r="B150" s="356" t="str">
        <f t="shared" si="57"/>
        <v>Плата за надання інших адміністративних послуг</v>
      </c>
      <c r="C150" s="394">
        <f t="shared" si="57"/>
        <v>22012500</v>
      </c>
      <c r="D150" s="413">
        <f aca="true" t="shared" si="61" ref="D150:S150">D62</f>
        <v>19000</v>
      </c>
      <c r="E150" s="413">
        <f t="shared" si="61"/>
        <v>19000</v>
      </c>
      <c r="F150" s="431">
        <f t="shared" si="61"/>
        <v>19457.76</v>
      </c>
      <c r="G150" s="413">
        <f t="shared" si="61"/>
        <v>457.7599999999984</v>
      </c>
      <c r="H150" s="411">
        <f t="shared" si="61"/>
        <v>1.0240926315789474</v>
      </c>
      <c r="I150" s="413">
        <f t="shared" si="61"/>
        <v>457.7599999999984</v>
      </c>
      <c r="J150" s="411">
        <f t="shared" si="61"/>
        <v>1.0240926315789474</v>
      </c>
      <c r="K150" s="33">
        <f t="shared" si="61"/>
        <v>0</v>
      </c>
      <c r="L150" s="33">
        <f t="shared" si="61"/>
        <v>0</v>
      </c>
      <c r="M150" s="33">
        <f t="shared" si="61"/>
        <v>0</v>
      </c>
      <c r="N150" s="413">
        <f t="shared" si="61"/>
        <v>11422.5</v>
      </c>
      <c r="O150" s="413">
        <f t="shared" si="61"/>
        <v>7577.5</v>
      </c>
      <c r="P150" s="411">
        <f t="shared" si="61"/>
        <v>1.663383672576056</v>
      </c>
      <c r="Q150" s="413">
        <f t="shared" si="61"/>
        <v>11422.5</v>
      </c>
      <c r="R150" s="432">
        <f t="shared" si="61"/>
        <v>8035.259999999998</v>
      </c>
      <c r="S150" s="411">
        <f t="shared" si="61"/>
        <v>1.7034589625738672</v>
      </c>
      <c r="T150" s="404"/>
      <c r="U150" s="404"/>
      <c r="V150" s="404"/>
      <c r="W150" s="404"/>
      <c r="X150" s="363">
        <f t="shared" si="59"/>
        <v>0.04007528999781118</v>
      </c>
    </row>
    <row r="151" spans="1:24" s="6" customFormat="1" ht="30.75" hidden="1">
      <c r="A151" s="8"/>
      <c r="B151" s="356" t="str">
        <f t="shared" si="57"/>
        <v>Адміністративний збір за державну реєстрацію речових прав на нерухоме майно та їх обтяжень</v>
      </c>
      <c r="C151" s="394">
        <f t="shared" si="57"/>
        <v>22012600</v>
      </c>
      <c r="D151" s="413">
        <f aca="true" t="shared" si="62" ref="D151:S151">D63</f>
        <v>530</v>
      </c>
      <c r="E151" s="413">
        <f t="shared" si="62"/>
        <v>530</v>
      </c>
      <c r="F151" s="431">
        <f t="shared" si="62"/>
        <v>682.96</v>
      </c>
      <c r="G151" s="413">
        <f t="shared" si="62"/>
        <v>152.96000000000004</v>
      </c>
      <c r="H151" s="411">
        <f t="shared" si="62"/>
        <v>1.2886037735849056</v>
      </c>
      <c r="I151" s="413">
        <f t="shared" si="62"/>
        <v>152.96000000000004</v>
      </c>
      <c r="J151" s="411">
        <f t="shared" si="62"/>
        <v>1.2886037735849056</v>
      </c>
      <c r="K151" s="33">
        <f t="shared" si="62"/>
        <v>0</v>
      </c>
      <c r="L151" s="33">
        <f t="shared" si="62"/>
        <v>0</v>
      </c>
      <c r="M151" s="33">
        <f t="shared" si="62"/>
        <v>0</v>
      </c>
      <c r="N151" s="413">
        <f t="shared" si="62"/>
        <v>323.25</v>
      </c>
      <c r="O151" s="413">
        <f t="shared" si="62"/>
        <v>206.75</v>
      </c>
      <c r="P151" s="411">
        <f t="shared" si="62"/>
        <v>1.639597834493426</v>
      </c>
      <c r="Q151" s="413">
        <f t="shared" si="62"/>
        <v>323.25</v>
      </c>
      <c r="R151" s="432">
        <f t="shared" si="62"/>
        <v>359.71000000000004</v>
      </c>
      <c r="S151" s="411">
        <f t="shared" si="62"/>
        <v>2.1127919566898687</v>
      </c>
      <c r="T151" s="404"/>
      <c r="U151" s="404"/>
      <c r="V151" s="404"/>
      <c r="W151" s="404"/>
      <c r="X151" s="363">
        <f t="shared" si="59"/>
        <v>0.47319412219644263</v>
      </c>
    </row>
    <row r="152" spans="1:24" s="6" customFormat="1" ht="30.75" hidden="1">
      <c r="A152" s="8"/>
      <c r="B152" s="356" t="str">
        <f t="shared" si="57"/>
        <v>Плата за скорочення термінів надання послуг у сфері державної реєстрації речових прав на нерухоме майно</v>
      </c>
      <c r="C152" s="394">
        <f t="shared" si="57"/>
        <v>22012900</v>
      </c>
      <c r="D152" s="413">
        <f aca="true" t="shared" si="63" ref="D152:S152">D64</f>
        <v>20</v>
      </c>
      <c r="E152" s="413">
        <f t="shared" si="63"/>
        <v>20</v>
      </c>
      <c r="F152" s="431">
        <f t="shared" si="63"/>
        <v>38.08</v>
      </c>
      <c r="G152" s="413">
        <f t="shared" si="63"/>
        <v>18.08</v>
      </c>
      <c r="H152" s="411">
        <f t="shared" si="63"/>
        <v>1.904</v>
      </c>
      <c r="I152" s="413">
        <f t="shared" si="63"/>
        <v>18.08</v>
      </c>
      <c r="J152" s="411">
        <f t="shared" si="63"/>
        <v>1.904</v>
      </c>
      <c r="K152" s="33">
        <f t="shared" si="63"/>
        <v>0</v>
      </c>
      <c r="L152" s="33">
        <f t="shared" si="63"/>
        <v>0</v>
      </c>
      <c r="M152" s="33">
        <f t="shared" si="63"/>
        <v>0</v>
      </c>
      <c r="N152" s="413">
        <f t="shared" si="63"/>
        <v>22.36</v>
      </c>
      <c r="O152" s="413">
        <f t="shared" si="63"/>
        <v>-2.3599999999999994</v>
      </c>
      <c r="P152" s="411">
        <f t="shared" si="63"/>
        <v>0.8944543828264758</v>
      </c>
      <c r="Q152" s="413">
        <f t="shared" si="63"/>
        <v>22.36</v>
      </c>
      <c r="R152" s="432">
        <f t="shared" si="63"/>
        <v>15.719999999999999</v>
      </c>
      <c r="S152" s="411">
        <f t="shared" si="63"/>
        <v>1.70304114490161</v>
      </c>
      <c r="T152" s="404"/>
      <c r="U152" s="404"/>
      <c r="V152" s="404"/>
      <c r="W152" s="404"/>
      <c r="X152" s="363">
        <f t="shared" si="59"/>
        <v>0.8085867620751342</v>
      </c>
    </row>
    <row r="153" spans="2:24" ht="15" hidden="1">
      <c r="B153" s="284" t="s">
        <v>255</v>
      </c>
      <c r="C153" s="436">
        <v>22010000</v>
      </c>
      <c r="D153" s="406">
        <f>D148+D149+D150+D151+D152</f>
        <v>20553</v>
      </c>
      <c r="E153" s="406">
        <f>E148+E149+E150+E151+E152</f>
        <v>20553</v>
      </c>
      <c r="F153" s="407">
        <f>F148+F149+F150+F151+F152</f>
        <v>21359.22</v>
      </c>
      <c r="G153" s="406">
        <f>F153-E153</f>
        <v>806.2200000000012</v>
      </c>
      <c r="H153" s="339">
        <f>F153/E153</f>
        <v>1.0392263903079844</v>
      </c>
      <c r="I153" s="406">
        <f>F153-D153</f>
        <v>806.2200000000012</v>
      </c>
      <c r="J153" s="339">
        <f>F153/D153</f>
        <v>1.0392263903079844</v>
      </c>
      <c r="K153" s="90"/>
      <c r="L153" s="90"/>
      <c r="M153" s="90"/>
      <c r="N153" s="406">
        <f>N148+N149+N150+N151+N152</f>
        <v>12559.44</v>
      </c>
      <c r="O153" s="406">
        <f>D153-N153</f>
        <v>7993.5599999999995</v>
      </c>
      <c r="P153" s="339">
        <f>D153/N153</f>
        <v>1.636458313427987</v>
      </c>
      <c r="Q153" s="406">
        <f>Q148+Q149+Q150+Q151+Q152</f>
        <v>12559.44</v>
      </c>
      <c r="R153" s="406">
        <f>F153-Q153</f>
        <v>8799.78</v>
      </c>
      <c r="S153" s="339">
        <f>F153/Q153</f>
        <v>1.700650665953259</v>
      </c>
      <c r="T153" s="403"/>
      <c r="U153" s="403"/>
      <c r="V153" s="403"/>
      <c r="W153" s="403"/>
      <c r="X153" s="366">
        <f t="shared" si="59"/>
        <v>0.06419235252527189</v>
      </c>
    </row>
    <row r="154" spans="20:24" ht="15" hidden="1">
      <c r="T154" s="403"/>
      <c r="U154" s="403"/>
      <c r="V154" s="403"/>
      <c r="W154" s="403"/>
      <c r="X154" s="363"/>
    </row>
    <row r="155" spans="20:24" ht="15" hidden="1">
      <c r="T155" s="403"/>
      <c r="U155" s="403"/>
      <c r="V155" s="403"/>
      <c r="W155" s="403"/>
      <c r="X155" s="363"/>
    </row>
    <row r="156" spans="2:24" ht="15" hidden="1">
      <c r="B156" s="284" t="s">
        <v>284</v>
      </c>
      <c r="T156" s="403"/>
      <c r="U156" s="403"/>
      <c r="V156" s="403"/>
      <c r="W156" s="403"/>
      <c r="X156" s="363"/>
    </row>
    <row r="157" spans="1:24" s="6" customFormat="1" ht="15.75" customHeight="1" hidden="1">
      <c r="A157" s="8"/>
      <c r="B157" s="357" t="str">
        <f>B72</f>
        <v>Інші надходження</v>
      </c>
      <c r="C157" s="396" t="str">
        <f>C72</f>
        <v>24060300</v>
      </c>
      <c r="D157" s="427">
        <f aca="true" t="shared" si="64" ref="D157:S157">D72</f>
        <v>7350</v>
      </c>
      <c r="E157" s="427">
        <f t="shared" si="64"/>
        <v>7350</v>
      </c>
      <c r="F157" s="433">
        <f t="shared" si="64"/>
        <v>7769.04</v>
      </c>
      <c r="G157" s="427">
        <f t="shared" si="64"/>
        <v>419.03999999999996</v>
      </c>
      <c r="H157" s="409">
        <f t="shared" si="64"/>
        <v>1.057012244897959</v>
      </c>
      <c r="I157" s="427">
        <f t="shared" si="64"/>
        <v>419.03999999999996</v>
      </c>
      <c r="J157" s="409">
        <f t="shared" si="64"/>
        <v>1.057012244897959</v>
      </c>
      <c r="K157" s="395">
        <f t="shared" si="64"/>
        <v>0</v>
      </c>
      <c r="L157" s="395">
        <f t="shared" si="64"/>
        <v>0</v>
      </c>
      <c r="M157" s="395">
        <f t="shared" si="64"/>
        <v>0</v>
      </c>
      <c r="N157" s="427">
        <f t="shared" si="64"/>
        <v>6525.16</v>
      </c>
      <c r="O157" s="427">
        <f t="shared" si="64"/>
        <v>824.8400000000001</v>
      </c>
      <c r="P157" s="409">
        <f t="shared" si="64"/>
        <v>1.1264091608481632</v>
      </c>
      <c r="Q157" s="427">
        <f t="shared" si="64"/>
        <v>6525.16</v>
      </c>
      <c r="R157" s="427">
        <f t="shared" si="64"/>
        <v>1243.88</v>
      </c>
      <c r="S157" s="409">
        <f t="shared" si="64"/>
        <v>1.1906282757817432</v>
      </c>
      <c r="T157" s="405"/>
      <c r="U157" s="405"/>
      <c r="V157" s="405"/>
      <c r="W157" s="405"/>
      <c r="X157" s="363">
        <f>S157-P157</f>
        <v>0.06421911493358001</v>
      </c>
    </row>
    <row r="158" spans="1:24" s="6" customFormat="1" ht="44.25" customHeight="1" hidden="1">
      <c r="A158" s="8"/>
      <c r="B158" s="3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96">
        <f>C76</f>
        <v>24061900</v>
      </c>
      <c r="D158" s="427">
        <f aca="true" t="shared" si="65" ref="D158:S158">D76</f>
        <v>160</v>
      </c>
      <c r="E158" s="427">
        <f t="shared" si="65"/>
        <v>160</v>
      </c>
      <c r="F158" s="433">
        <f t="shared" si="65"/>
        <v>142.18</v>
      </c>
      <c r="G158" s="427">
        <f t="shared" si="65"/>
        <v>-17.819999999999993</v>
      </c>
      <c r="H158" s="409">
        <f t="shared" si="65"/>
        <v>0.888625</v>
      </c>
      <c r="I158" s="427">
        <f t="shared" si="65"/>
        <v>-17.819999999999993</v>
      </c>
      <c r="J158" s="409">
        <f t="shared" si="65"/>
        <v>0.888625</v>
      </c>
      <c r="K158" s="395">
        <f t="shared" si="65"/>
        <v>0</v>
      </c>
      <c r="L158" s="395">
        <f t="shared" si="65"/>
        <v>0</v>
      </c>
      <c r="M158" s="395">
        <f t="shared" si="65"/>
        <v>0</v>
      </c>
      <c r="N158" s="427">
        <f t="shared" si="65"/>
        <v>226.72</v>
      </c>
      <c r="O158" s="427">
        <f t="shared" si="65"/>
        <v>-66.72</v>
      </c>
      <c r="P158" s="409">
        <f t="shared" si="65"/>
        <v>0.7057163020465773</v>
      </c>
      <c r="Q158" s="427">
        <f t="shared" si="65"/>
        <v>226.72</v>
      </c>
      <c r="R158" s="427">
        <f t="shared" si="65"/>
        <v>-84.53999999999999</v>
      </c>
      <c r="S158" s="409">
        <f t="shared" si="65"/>
        <v>0.6271171489061398</v>
      </c>
      <c r="T158" s="405"/>
      <c r="U158" s="405"/>
      <c r="V158" s="405"/>
      <c r="W158" s="405"/>
      <c r="X158" s="363">
        <f>S158-P158</f>
        <v>-0.07859915314043753</v>
      </c>
    </row>
    <row r="159" spans="2:24" ht="15" hidden="1">
      <c r="B159" s="284" t="s">
        <v>284</v>
      </c>
      <c r="C159" s="435">
        <v>24060000</v>
      </c>
      <c r="D159" s="406">
        <f>D157+D158</f>
        <v>7510</v>
      </c>
      <c r="E159" s="406">
        <f>E157+E158</f>
        <v>7510</v>
      </c>
      <c r="F159" s="407">
        <f>F157+F158</f>
        <v>7911.22</v>
      </c>
      <c r="G159" s="408">
        <f>F159-E159</f>
        <v>401.22000000000025</v>
      </c>
      <c r="H159" s="339">
        <f>F159/E159</f>
        <v>1.0534247669773635</v>
      </c>
      <c r="I159" s="406">
        <f>F159-D159</f>
        <v>401.22000000000025</v>
      </c>
      <c r="J159" s="339">
        <f>F159/D159</f>
        <v>1.0534247669773635</v>
      </c>
      <c r="K159" s="90"/>
      <c r="L159" s="90"/>
      <c r="M159" s="90"/>
      <c r="N159" s="406">
        <f>N157+N158</f>
        <v>6751.88</v>
      </c>
      <c r="O159" s="406">
        <f>D159-N159</f>
        <v>758.1199999999999</v>
      </c>
      <c r="P159" s="339">
        <f>D159/N159</f>
        <v>1.112282801234619</v>
      </c>
      <c r="Q159" s="406">
        <f>Q157+Q158</f>
        <v>6751.88</v>
      </c>
      <c r="R159" s="406">
        <f>F159-Q159</f>
        <v>1159.3400000000001</v>
      </c>
      <c r="S159" s="339">
        <f>F159/Q159</f>
        <v>1.1717062507035079</v>
      </c>
      <c r="T159" s="403"/>
      <c r="U159" s="403"/>
      <c r="V159" s="403"/>
      <c r="W159" s="403"/>
      <c r="X159" s="366">
        <f>S159-P159</f>
        <v>0.05942344946888878</v>
      </c>
    </row>
    <row r="160" spans="20:23" ht="15" hidden="1">
      <c r="T160" s="403"/>
      <c r="U160" s="403"/>
      <c r="V160" s="403"/>
      <c r="W160" s="403"/>
    </row>
    <row r="161" spans="20:23" ht="15" hidden="1">
      <c r="T161" s="403"/>
      <c r="U161" s="403"/>
      <c r="V161" s="403"/>
      <c r="W161" s="403"/>
    </row>
    <row r="162" spans="20:23" ht="15" hidden="1">
      <c r="T162" s="403"/>
      <c r="U162" s="403"/>
      <c r="V162" s="403"/>
      <c r="W162" s="403"/>
    </row>
    <row r="163" spans="20:23" ht="15" hidden="1">
      <c r="T163" s="403"/>
      <c r="U163" s="403"/>
      <c r="V163" s="403"/>
      <c r="W163" s="403"/>
    </row>
    <row r="164" spans="20:23" ht="15" hidden="1">
      <c r="T164" s="403"/>
      <c r="U164" s="403"/>
      <c r="V164" s="403"/>
      <c r="W164" s="403"/>
    </row>
    <row r="165" spans="20:23" ht="15" hidden="1">
      <c r="T165" s="403"/>
      <c r="U165" s="403"/>
      <c r="V165" s="403"/>
      <c r="W165" s="403"/>
    </row>
    <row r="166" spans="20:23" ht="15">
      <c r="T166" s="403"/>
      <c r="U166" s="403"/>
      <c r="V166" s="403"/>
      <c r="W166" s="403"/>
    </row>
    <row r="167" spans="20:23" ht="15">
      <c r="T167" s="403"/>
      <c r="U167" s="403"/>
      <c r="V167" s="403"/>
      <c r="W167" s="403"/>
    </row>
    <row r="168" spans="20:23" ht="15">
      <c r="T168" s="403"/>
      <c r="U168" s="403"/>
      <c r="V168" s="403"/>
      <c r="W168" s="403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.11811023622047245" top="0.1968503937007874" bottom="0.1968503937007874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62" t="s">
        <v>185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  <c r="T1" s="246"/>
      <c r="U1" s="249"/>
      <c r="V1" s="259"/>
      <c r="W1" s="259"/>
    </row>
    <row r="2" spans="2:23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163</v>
      </c>
      <c r="O3" s="473" t="s">
        <v>164</v>
      </c>
      <c r="P3" s="473"/>
      <c r="Q3" s="473"/>
      <c r="R3" s="473"/>
      <c r="S3" s="47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64"/>
      <c r="B4" s="466"/>
      <c r="C4" s="467"/>
      <c r="D4" s="468"/>
      <c r="E4" s="474" t="s">
        <v>153</v>
      </c>
      <c r="F4" s="456" t="s">
        <v>33</v>
      </c>
      <c r="G4" s="445" t="s">
        <v>162</v>
      </c>
      <c r="H4" s="458" t="s">
        <v>176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186</v>
      </c>
      <c r="P4" s="445" t="s">
        <v>49</v>
      </c>
      <c r="Q4" s="44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169</v>
      </c>
      <c r="L5" s="449"/>
      <c r="M5" s="450"/>
      <c r="N5" s="459"/>
      <c r="O5" s="461"/>
      <c r="P5" s="446"/>
      <c r="Q5" s="447"/>
      <c r="R5" s="448" t="s">
        <v>102</v>
      </c>
      <c r="S5" s="45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43"/>
      <c r="P93" s="443"/>
    </row>
    <row r="94" spans="3:16" ht="15">
      <c r="C94" s="81">
        <v>42824</v>
      </c>
      <c r="D94" s="29">
        <v>11112.7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42823</v>
      </c>
      <c r="D95" s="29">
        <v>8830.3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1399.2856000000002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6" sqref="C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62" t="s">
        <v>151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144</v>
      </c>
      <c r="O3" s="473" t="s">
        <v>148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149</v>
      </c>
      <c r="F4" s="456" t="s">
        <v>33</v>
      </c>
      <c r="G4" s="445" t="s">
        <v>145</v>
      </c>
      <c r="H4" s="458" t="s">
        <v>146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152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147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43"/>
      <c r="P90" s="443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42790</v>
      </c>
      <c r="D92" s="29">
        <v>4206.9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v>7713.34596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7" sqref="D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62" t="s">
        <v>143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134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123</v>
      </c>
      <c r="O3" s="473" t="s">
        <v>118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135</v>
      </c>
      <c r="F4" s="456" t="s">
        <v>33</v>
      </c>
      <c r="G4" s="445" t="s">
        <v>136</v>
      </c>
      <c r="H4" s="458" t="s">
        <v>137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124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142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43"/>
      <c r="P90" s="443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42762</v>
      </c>
      <c r="D92" s="29">
        <v>8862.4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f>9505303.41/1000</f>
        <v>9505.30341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30" sqref="Y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62" t="s">
        <v>132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126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129</v>
      </c>
      <c r="O3" s="473" t="s">
        <v>125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127</v>
      </c>
      <c r="F4" s="484" t="s">
        <v>33</v>
      </c>
      <c r="G4" s="445" t="s">
        <v>128</v>
      </c>
      <c r="H4" s="458" t="s">
        <v>122</v>
      </c>
      <c r="I4" s="445" t="s">
        <v>103</v>
      </c>
      <c r="J4" s="458" t="s">
        <v>104</v>
      </c>
      <c r="K4" s="85" t="s">
        <v>114</v>
      </c>
      <c r="L4" s="204" t="s">
        <v>113</v>
      </c>
      <c r="M4" s="90" t="s">
        <v>63</v>
      </c>
      <c r="N4" s="458"/>
      <c r="O4" s="460" t="s">
        <v>133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85"/>
      <c r="G5" s="446"/>
      <c r="H5" s="459"/>
      <c r="I5" s="446"/>
      <c r="J5" s="459"/>
      <c r="K5" s="448" t="s">
        <v>130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43"/>
      <c r="P90" s="443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42732</v>
      </c>
      <c r="D92" s="29">
        <v>19085.6</v>
      </c>
      <c r="F92" s="333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333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 t="e">
        <f>'[1]ЧТКЕ'!$G$6/1000</f>
        <v>#VALUE!</v>
      </c>
      <c r="E94" s="69"/>
      <c r="F94" s="334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" customHeight="1">
      <c r="F95" s="333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333"/>
      <c r="G96" s="439"/>
      <c r="H96" s="439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zoomScale="81" zoomScaleNormal="81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2" sqref="D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279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265</v>
      </c>
      <c r="U3" s="473" t="s">
        <v>118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262</v>
      </c>
      <c r="F4" s="456" t="s">
        <v>33</v>
      </c>
      <c r="G4" s="445" t="s">
        <v>263</v>
      </c>
      <c r="H4" s="458" t="s">
        <v>264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280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266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1206192.4899999998</v>
      </c>
      <c r="G8" s="151">
        <f>F8-E8</f>
        <v>23626.889999999665</v>
      </c>
      <c r="H8" s="377">
        <f aca="true" t="shared" si="0" ref="H8:H15">F8/E8</f>
        <v>1.019979348291545</v>
      </c>
      <c r="I8" s="153">
        <f aca="true" t="shared" si="1" ref="I8:I52">F8-D8</f>
        <v>-87988.61000000034</v>
      </c>
      <c r="J8" s="219">
        <f aca="true" t="shared" si="2" ref="J8:J14">F8/D8</f>
        <v>0.9320121349322746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315594.0099999998</v>
      </c>
      <c r="S8" s="205">
        <f aca="true" t="shared" si="6" ref="S8:S20">F8/Q8</f>
        <v>1.354361720895818</v>
      </c>
      <c r="T8" s="151">
        <f>T9+T15+T18+T19+T23+T17</f>
        <v>118021</v>
      </c>
      <c r="U8" s="151">
        <f>U9+U15+U18+U19+U23+U17</f>
        <v>130368.34999999996</v>
      </c>
      <c r="V8" s="151">
        <f>U8-T8</f>
        <v>12347.349999999962</v>
      </c>
      <c r="W8" s="205">
        <f aca="true" t="shared" si="7" ref="W8:W15">U8/T8</f>
        <v>1.1046199405190598</v>
      </c>
      <c r="X8" s="365">
        <f aca="true" t="shared" si="8" ref="X8:X22">S8-P8</f>
        <v>0.040200107729233325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689441.19</v>
      </c>
      <c r="G9" s="150">
        <f>F9-E9</f>
        <v>3775.189999999944</v>
      </c>
      <c r="H9" s="375">
        <f t="shared" si="0"/>
        <v>1.0055058731218989</v>
      </c>
      <c r="I9" s="158">
        <f t="shared" si="1"/>
        <v>-77203.81000000006</v>
      </c>
      <c r="J9" s="210">
        <f t="shared" si="2"/>
        <v>0.8992965322933039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209398.43999999994</v>
      </c>
      <c r="S9" s="206">
        <f t="shared" si="6"/>
        <v>1.4362079002338852</v>
      </c>
      <c r="T9" s="157">
        <f>E9-жовтень!E9</f>
        <v>72026</v>
      </c>
      <c r="U9" s="160">
        <f>F9-жовтень!F9</f>
        <v>71230.19999999995</v>
      </c>
      <c r="V9" s="161">
        <f>U9-T9</f>
        <v>-795.8000000000466</v>
      </c>
      <c r="W9" s="210">
        <f t="shared" si="7"/>
        <v>0.9889512120623102</v>
      </c>
      <c r="X9" s="366">
        <f t="shared" si="8"/>
        <v>0.021495160853111317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631637.36</v>
      </c>
      <c r="G10" s="103">
        <f aca="true" t="shared" si="9" ref="G10:G47">F10-E10</f>
        <v>5323.359999999986</v>
      </c>
      <c r="H10" s="376">
        <f t="shared" si="0"/>
        <v>1.0084995066372457</v>
      </c>
      <c r="I10" s="104">
        <f t="shared" si="1"/>
        <v>-74179.64000000001</v>
      </c>
      <c r="J10" s="109">
        <f t="shared" si="2"/>
        <v>0.8949024463848277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209502.56</v>
      </c>
      <c r="S10" s="207">
        <f t="shared" si="6"/>
        <v>1.4962930324626162</v>
      </c>
      <c r="T10" s="105">
        <f>E10-жовтень!E10</f>
        <v>66764</v>
      </c>
      <c r="U10" s="144">
        <f>F10-жовтень!F10</f>
        <v>65106.23999999999</v>
      </c>
      <c r="V10" s="106">
        <f aca="true" t="shared" si="10" ref="V10:V52">U10-T10</f>
        <v>-1657.7600000000093</v>
      </c>
      <c r="W10" s="109">
        <f t="shared" si="7"/>
        <v>0.9751698520160564</v>
      </c>
      <c r="X10" s="364">
        <f t="shared" si="8"/>
        <v>0.01407563235925835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37482.74</v>
      </c>
      <c r="G11" s="103">
        <f t="shared" si="9"/>
        <v>-4523.260000000002</v>
      </c>
      <c r="H11" s="376">
        <f t="shared" si="0"/>
        <v>0.8923187163738513</v>
      </c>
      <c r="I11" s="104">
        <f t="shared" si="1"/>
        <v>-4523.260000000002</v>
      </c>
      <c r="J11" s="109">
        <f t="shared" si="2"/>
        <v>0.8923187163738513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761.0199999999968</v>
      </c>
      <c r="S11" s="207">
        <f t="shared" si="6"/>
        <v>1.020723974802923</v>
      </c>
      <c r="T11" s="105">
        <f>E11-жовтень!E11</f>
        <v>3906</v>
      </c>
      <c r="U11" s="144">
        <f>F11-жовтень!F11</f>
        <v>4069.9300000000003</v>
      </c>
      <c r="V11" s="106">
        <f t="shared" si="10"/>
        <v>163.9300000000003</v>
      </c>
      <c r="W11" s="109">
        <f t="shared" si="7"/>
        <v>1.0419687660010242</v>
      </c>
      <c r="X11" s="364">
        <f t="shared" si="8"/>
        <v>0.030047503097908268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9471.03</v>
      </c>
      <c r="G12" s="103">
        <f t="shared" si="9"/>
        <v>1971.0300000000007</v>
      </c>
      <c r="H12" s="376">
        <f t="shared" si="0"/>
        <v>1.262804</v>
      </c>
      <c r="I12" s="104">
        <f t="shared" si="1"/>
        <v>1191.0300000000007</v>
      </c>
      <c r="J12" s="109">
        <f t="shared" si="2"/>
        <v>1.1438442028985507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153.10000000000036</v>
      </c>
      <c r="S12" s="207">
        <f t="shared" si="6"/>
        <v>1.0164306879317617</v>
      </c>
      <c r="T12" s="105">
        <f>E12-жовтень!E12</f>
        <v>720</v>
      </c>
      <c r="U12" s="144">
        <f>F12-жовтень!F12</f>
        <v>1188.0400000000009</v>
      </c>
      <c r="V12" s="106">
        <f t="shared" si="10"/>
        <v>468.0400000000009</v>
      </c>
      <c r="W12" s="109">
        <f t="shared" si="7"/>
        <v>1.6500555555555567</v>
      </c>
      <c r="X12" s="364">
        <f t="shared" si="8"/>
        <v>0.23998075207327818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9597.59</v>
      </c>
      <c r="G13" s="103">
        <f t="shared" si="9"/>
        <v>807.5900000000001</v>
      </c>
      <c r="H13" s="376">
        <f t="shared" si="0"/>
        <v>1.0918759954493744</v>
      </c>
      <c r="I13" s="104">
        <f t="shared" si="1"/>
        <v>207.59000000000015</v>
      </c>
      <c r="J13" s="109">
        <f t="shared" si="2"/>
        <v>1.0221075612353567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697.460000000001</v>
      </c>
      <c r="S13" s="207">
        <f t="shared" si="6"/>
        <v>1.0783651474753742</v>
      </c>
      <c r="T13" s="105">
        <f>E13-жовтень!E13</f>
        <v>540</v>
      </c>
      <c r="U13" s="144">
        <f>F13-жовтень!F13</f>
        <v>757.7199999999993</v>
      </c>
      <c r="V13" s="106">
        <f t="shared" si="10"/>
        <v>217.71999999999935</v>
      </c>
      <c r="W13" s="109">
        <f t="shared" si="7"/>
        <v>1.403185185185184</v>
      </c>
      <c r="X13" s="364">
        <f t="shared" si="8"/>
        <v>0.09332847347950302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1252.47</v>
      </c>
      <c r="G14" s="103">
        <f t="shared" si="9"/>
        <v>196.47000000000003</v>
      </c>
      <c r="H14" s="376">
        <f t="shared" si="0"/>
        <v>1.1860511363636363</v>
      </c>
      <c r="I14" s="104">
        <f t="shared" si="1"/>
        <v>100.47000000000003</v>
      </c>
      <c r="J14" s="109">
        <f t="shared" si="2"/>
        <v>1.0872135416666666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-1715.6899999999998</v>
      </c>
      <c r="S14" s="207">
        <f t="shared" si="6"/>
        <v>0.42196849226456795</v>
      </c>
      <c r="T14" s="105">
        <f>E14-жовтень!E14</f>
        <v>96</v>
      </c>
      <c r="U14" s="144">
        <f>F14-жовтень!F14</f>
        <v>108.26999999999998</v>
      </c>
      <c r="V14" s="106">
        <f t="shared" si="10"/>
        <v>12.269999999999982</v>
      </c>
      <c r="W14" s="109">
        <f t="shared" si="7"/>
        <v>1.1278124999999999</v>
      </c>
      <c r="X14" s="364">
        <f t="shared" si="8"/>
        <v>0.05282409335790189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111471.94</v>
      </c>
      <c r="G19" s="150">
        <f t="shared" si="9"/>
        <v>-5428.059999999998</v>
      </c>
      <c r="H19" s="375">
        <f t="shared" si="11"/>
        <v>0.9535666381522669</v>
      </c>
      <c r="I19" s="158">
        <f t="shared" si="1"/>
        <v>-14228.059999999998</v>
      </c>
      <c r="J19" s="158">
        <f t="shared" si="12"/>
        <v>88.68093874303898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18680.15000000001</v>
      </c>
      <c r="S19" s="208">
        <f t="shared" si="6"/>
        <v>1.2013125299123986</v>
      </c>
      <c r="T19" s="157">
        <f>E19-жовтень!E19</f>
        <v>10100</v>
      </c>
      <c r="U19" s="160">
        <f>F19-жовтень!F19</f>
        <v>11263.330000000002</v>
      </c>
      <c r="V19" s="161">
        <f t="shared" si="10"/>
        <v>1163.3300000000017</v>
      </c>
      <c r="W19" s="210">
        <f t="shared" si="13"/>
        <v>1.115181188118812</v>
      </c>
      <c r="X19" s="363">
        <f t="shared" si="8"/>
        <v>-0.033464933129739416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56447.02</v>
      </c>
      <c r="G20" s="253">
        <f t="shared" si="9"/>
        <v>-6952.980000000003</v>
      </c>
      <c r="H20" s="378">
        <f t="shared" si="11"/>
        <v>0.8903315457413249</v>
      </c>
      <c r="I20" s="254">
        <f t="shared" si="1"/>
        <v>-6952.980000000003</v>
      </c>
      <c r="J20" s="254">
        <f t="shared" si="12"/>
        <v>89.0331545741325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-36344.77</v>
      </c>
      <c r="S20" s="256">
        <f t="shared" si="6"/>
        <v>0.6083191196117674</v>
      </c>
      <c r="T20" s="195">
        <f>E20-жовтень!E20</f>
        <v>100</v>
      </c>
      <c r="U20" s="179">
        <f>F20-жовтень!F20</f>
        <v>4522.519999999997</v>
      </c>
      <c r="V20" s="166">
        <f t="shared" si="10"/>
        <v>4422.519999999997</v>
      </c>
      <c r="W20" s="305">
        <f t="shared" si="13"/>
        <v>45.225199999999965</v>
      </c>
      <c r="X20" s="363">
        <f t="shared" si="8"/>
        <v>-0.014472377260719038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11182.4</v>
      </c>
      <c r="G21" s="253">
        <f t="shared" si="9"/>
        <v>-17.600000000000364</v>
      </c>
      <c r="H21" s="378">
        <f t="shared" si="11"/>
        <v>0.9984285714285714</v>
      </c>
      <c r="I21" s="254">
        <f t="shared" si="1"/>
        <v>-1017.6000000000004</v>
      </c>
      <c r="J21" s="254">
        <f t="shared" si="12"/>
        <v>91.65901639344261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11182.4</v>
      </c>
      <c r="S21" s="256"/>
      <c r="T21" s="195">
        <f>E21-жовтень!E21</f>
        <v>2500</v>
      </c>
      <c r="U21" s="179">
        <f>F21-жовтень!F21</f>
        <v>1170.2399999999998</v>
      </c>
      <c r="V21" s="166">
        <f t="shared" si="10"/>
        <v>-1329.7600000000002</v>
      </c>
      <c r="W21" s="305">
        <f t="shared" si="13"/>
        <v>0.4680959999999999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43842.52</v>
      </c>
      <c r="G22" s="253">
        <f t="shared" si="9"/>
        <v>1542.5199999999968</v>
      </c>
      <c r="H22" s="378">
        <f t="shared" si="11"/>
        <v>1.0364661938534279</v>
      </c>
      <c r="I22" s="254">
        <f t="shared" si="1"/>
        <v>-6257.480000000003</v>
      </c>
      <c r="J22" s="254">
        <f t="shared" si="12"/>
        <v>87.51001996007983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43842.52</v>
      </c>
      <c r="S22" s="256"/>
      <c r="T22" s="195">
        <f>E22-жовтень!E22</f>
        <v>7500</v>
      </c>
      <c r="U22" s="179">
        <f>F22-жовтень!F22</f>
        <v>5570.57</v>
      </c>
      <c r="V22" s="166">
        <f t="shared" si="10"/>
        <v>-1929.4300000000003</v>
      </c>
      <c r="W22" s="305">
        <f t="shared" si="13"/>
        <v>0.7427426666666667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404170.67</v>
      </c>
      <c r="G23" s="150">
        <f t="shared" si="9"/>
        <v>24747.070000000007</v>
      </c>
      <c r="H23" s="375">
        <f t="shared" si="11"/>
        <v>1.0652228011120026</v>
      </c>
      <c r="I23" s="158">
        <f t="shared" si="1"/>
        <v>2910.570000000007</v>
      </c>
      <c r="J23" s="158">
        <f t="shared" si="12"/>
        <v>100.72535744271609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86939.70999999996</v>
      </c>
      <c r="S23" s="209">
        <f aca="true" t="shared" si="16" ref="S23:S41">F23/Q23</f>
        <v>1.2740580868903841</v>
      </c>
      <c r="T23" s="157">
        <f>E23-жовтень!E23</f>
        <v>35860</v>
      </c>
      <c r="U23" s="160">
        <f>F23-жовтень!F23</f>
        <v>47294.369999999995</v>
      </c>
      <c r="V23" s="161">
        <f t="shared" si="10"/>
        <v>11434.369999999995</v>
      </c>
      <c r="W23" s="210">
        <f t="shared" si="13"/>
        <v>1.3188614054656997</v>
      </c>
      <c r="X23" s="363">
        <f>S23-P23</f>
        <v>0.095626475421827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191255.81</v>
      </c>
      <c r="G24" s="150">
        <f t="shared" si="9"/>
        <v>-305.29000000000815</v>
      </c>
      <c r="H24" s="375">
        <f t="shared" si="11"/>
        <v>0.998406304829112</v>
      </c>
      <c r="I24" s="158">
        <f t="shared" si="1"/>
        <v>-15495.190000000002</v>
      </c>
      <c r="J24" s="210">
        <f aca="true" t="shared" si="17" ref="J24:J41">F24/D24</f>
        <v>0.9250538570551049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23995.709999999992</v>
      </c>
      <c r="S24" s="209">
        <f t="shared" si="16"/>
        <v>1.143463444061076</v>
      </c>
      <c r="T24" s="157">
        <f>E24-жовтень!E24</f>
        <v>17145</v>
      </c>
      <c r="U24" s="160">
        <f>F24-жовтень!F24</f>
        <v>15329.120000000024</v>
      </c>
      <c r="V24" s="161">
        <f t="shared" si="10"/>
        <v>-1815.8799999999756</v>
      </c>
      <c r="W24" s="210">
        <f t="shared" si="13"/>
        <v>0.8940869058034426</v>
      </c>
      <c r="X24" s="363">
        <f aca="true" t="shared" si="18" ref="X24:X99">S24-P24</f>
        <v>0.009307579708204061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24510.23</v>
      </c>
      <c r="G25" s="253">
        <f t="shared" si="9"/>
        <v>2246.130000000001</v>
      </c>
      <c r="H25" s="378">
        <f t="shared" si="11"/>
        <v>1.1008857308402316</v>
      </c>
      <c r="I25" s="254">
        <f t="shared" si="1"/>
        <v>1701.2299999999996</v>
      </c>
      <c r="J25" s="305">
        <f t="shared" si="17"/>
        <v>1.0745859090709808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3774.0699999999997</v>
      </c>
      <c r="S25" s="215">
        <f t="shared" si="16"/>
        <v>1.1820042862323592</v>
      </c>
      <c r="T25" s="195">
        <f>E25-жовтень!E25</f>
        <v>405</v>
      </c>
      <c r="U25" s="179">
        <f>F25-жовтень!F25</f>
        <v>911.0400000000009</v>
      </c>
      <c r="V25" s="166">
        <f t="shared" si="10"/>
        <v>506.0400000000009</v>
      </c>
      <c r="W25" s="305">
        <f t="shared" si="13"/>
        <v>2.249481481481484</v>
      </c>
      <c r="X25" s="363">
        <f t="shared" si="18"/>
        <v>0.12023954749100363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1407.7800000000002</v>
      </c>
      <c r="G26" s="223">
        <f t="shared" si="9"/>
        <v>-359.51999999999975</v>
      </c>
      <c r="H26" s="379">
        <f t="shared" si="11"/>
        <v>0.7965710405703617</v>
      </c>
      <c r="I26" s="299">
        <f t="shared" si="1"/>
        <v>-414.51999999999975</v>
      </c>
      <c r="J26" s="341">
        <f t="shared" si="17"/>
        <v>0.7725292213137246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591.9300000000002</v>
      </c>
      <c r="S26" s="228">
        <f t="shared" si="16"/>
        <v>1.72553778268064</v>
      </c>
      <c r="T26" s="237">
        <f>E26-жовтень!E26</f>
        <v>55</v>
      </c>
      <c r="U26" s="237">
        <f>F26-жовтень!F26</f>
        <v>155.46000000000026</v>
      </c>
      <c r="V26" s="299">
        <f t="shared" si="10"/>
        <v>100.46000000000026</v>
      </c>
      <c r="W26" s="341">
        <f>U26/T26*100</f>
        <v>282.65454545454594</v>
      </c>
      <c r="X26" s="363">
        <f t="shared" si="18"/>
        <v>-0.43691623416995906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23102.46</v>
      </c>
      <c r="G27" s="223">
        <f t="shared" si="9"/>
        <v>2605.66</v>
      </c>
      <c r="H27" s="379">
        <f t="shared" si="11"/>
        <v>1.1271252097888451</v>
      </c>
      <c r="I27" s="299">
        <f t="shared" si="1"/>
        <v>2115.760000000002</v>
      </c>
      <c r="J27" s="341">
        <f t="shared" si="17"/>
        <v>1.100814325263143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3183.149999999998</v>
      </c>
      <c r="S27" s="228">
        <f t="shared" si="16"/>
        <v>1.159802222064921</v>
      </c>
      <c r="T27" s="237">
        <f>E27-жовтень!E27</f>
        <v>350</v>
      </c>
      <c r="U27" s="237">
        <f>F27-жовтень!F27</f>
        <v>755.5799999999981</v>
      </c>
      <c r="V27" s="299">
        <f t="shared" si="10"/>
        <v>405.5799999999981</v>
      </c>
      <c r="W27" s="341">
        <f>U27/T27*100</f>
        <v>215.87999999999946</v>
      </c>
      <c r="X27" s="363">
        <f t="shared" si="18"/>
        <v>0.1429781384890909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260.86</v>
      </c>
      <c r="G28" s="385">
        <f t="shared" si="9"/>
        <v>-656.4399999999999</v>
      </c>
      <c r="H28" s="387">
        <f t="shared" si="11"/>
        <v>0.2843780660634471</v>
      </c>
      <c r="I28" s="388">
        <f t="shared" si="1"/>
        <v>-661.4399999999999</v>
      </c>
      <c r="J28" s="389">
        <f t="shared" si="17"/>
        <v>0.282836387292638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-128.07999999999998</v>
      </c>
      <c r="S28" s="389">
        <f t="shared" si="16"/>
        <v>0.6706947086954287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1146.92</v>
      </c>
      <c r="G29" s="385">
        <f t="shared" si="9"/>
        <v>296.9200000000001</v>
      </c>
      <c r="H29" s="387">
        <f t="shared" si="11"/>
        <v>1.3493176470588235</v>
      </c>
      <c r="I29" s="388">
        <f t="shared" si="1"/>
        <v>246.92000000000007</v>
      </c>
      <c r="J29" s="389">
        <f t="shared" si="17"/>
        <v>1.2743555555555557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719.01</v>
      </c>
      <c r="S29" s="389">
        <f t="shared" si="16"/>
        <v>2.680283237129303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2096.87</v>
      </c>
      <c r="G30" s="385">
        <f t="shared" si="9"/>
        <v>77.76999999999998</v>
      </c>
      <c r="H30" s="387">
        <f t="shared" si="11"/>
        <v>1.0385171611113861</v>
      </c>
      <c r="I30" s="388">
        <f t="shared" si="1"/>
        <v>77.76999999999998</v>
      </c>
      <c r="J30" s="389">
        <f t="shared" si="17"/>
        <v>1.0385171611113861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177.94999999999982</v>
      </c>
      <c r="S30" s="389">
        <f t="shared" si="16"/>
        <v>1.0927344547974902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21005.59</v>
      </c>
      <c r="G31" s="385">
        <f t="shared" si="9"/>
        <v>2527.8899999999994</v>
      </c>
      <c r="H31" s="387">
        <f t="shared" si="11"/>
        <v>1.1368076113369088</v>
      </c>
      <c r="I31" s="388">
        <f t="shared" si="1"/>
        <v>2037.9900000000016</v>
      </c>
      <c r="J31" s="389">
        <f t="shared" si="17"/>
        <v>1.1074458550370105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3005.209999999999</v>
      </c>
      <c r="S31" s="389">
        <f t="shared" si="16"/>
        <v>1.166952586556506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456.38</v>
      </c>
      <c r="G32" s="253">
        <f t="shared" si="9"/>
        <v>-188.62</v>
      </c>
      <c r="H32" s="378">
        <f t="shared" si="11"/>
        <v>0.7075658914728682</v>
      </c>
      <c r="I32" s="254">
        <f t="shared" si="1"/>
        <v>-193.62</v>
      </c>
      <c r="J32" s="305">
        <f t="shared" si="17"/>
        <v>0.702123076923077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-330.99</v>
      </c>
      <c r="S32" s="212">
        <f t="shared" si="16"/>
        <v>0.5796258429963042</v>
      </c>
      <c r="T32" s="195">
        <f>E32-жовтень!E28</f>
        <v>5</v>
      </c>
      <c r="U32" s="179">
        <f>F32-жовтень!F28</f>
        <v>203.71</v>
      </c>
      <c r="V32" s="166">
        <f t="shared" si="10"/>
        <v>198.71</v>
      </c>
      <c r="W32" s="305">
        <f>U32/T32</f>
        <v>40.742000000000004</v>
      </c>
      <c r="X32" s="364">
        <f t="shared" si="18"/>
        <v>-0.3464979726338162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66.53</v>
      </c>
      <c r="G33" s="103">
        <f t="shared" si="9"/>
        <v>-283.47</v>
      </c>
      <c r="H33" s="376">
        <f t="shared" si="11"/>
        <v>0.1900857142857143</v>
      </c>
      <c r="I33" s="104">
        <f t="shared" si="1"/>
        <v>-283.47</v>
      </c>
      <c r="J33" s="109">
        <f t="shared" si="17"/>
        <v>0.1900857142857143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-398.99</v>
      </c>
      <c r="S33" s="109">
        <f t="shared" si="16"/>
        <v>0.14291544938992956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389.85</v>
      </c>
      <c r="G34" s="103">
        <f t="shared" si="9"/>
        <v>94.85000000000002</v>
      </c>
      <c r="H34" s="376">
        <f t="shared" si="11"/>
        <v>1.3215254237288137</v>
      </c>
      <c r="I34" s="104">
        <f t="shared" si="1"/>
        <v>89.85000000000002</v>
      </c>
      <c r="J34" s="109">
        <f t="shared" si="17"/>
        <v>1.2995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68.01000000000005</v>
      </c>
      <c r="S34" s="109">
        <f t="shared" si="16"/>
        <v>1.2113161819537661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166289.2</v>
      </c>
      <c r="G35" s="150">
        <f t="shared" si="9"/>
        <v>-2362.7999999999884</v>
      </c>
      <c r="H35" s="378">
        <f t="shared" si="11"/>
        <v>0.985990086094443</v>
      </c>
      <c r="I35" s="254">
        <f t="shared" si="1"/>
        <v>-17002.79999999999</v>
      </c>
      <c r="J35" s="305">
        <f t="shared" si="17"/>
        <v>0.9072365406018812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20552.630000000005</v>
      </c>
      <c r="S35" s="211">
        <f t="shared" si="16"/>
        <v>1.1410258935008557</v>
      </c>
      <c r="T35" s="195">
        <f>E35-жовтень!E29</f>
        <v>16735</v>
      </c>
      <c r="U35" s="179">
        <f>F35-жовтень!F29</f>
        <v>14214.370000000024</v>
      </c>
      <c r="V35" s="166">
        <f t="shared" si="10"/>
        <v>-2520.6299999999756</v>
      </c>
      <c r="W35" s="305">
        <f>U35/T35</f>
        <v>0.8493797430534822</v>
      </c>
      <c r="X35" s="364">
        <f t="shared" si="18"/>
        <v>-0.0037546288166558917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54002.04</v>
      </c>
      <c r="G36" s="223">
        <f t="shared" si="9"/>
        <v>269.0400000000009</v>
      </c>
      <c r="H36" s="379">
        <f t="shared" si="11"/>
        <v>1.0050069789514824</v>
      </c>
      <c r="I36" s="299">
        <f t="shared" si="1"/>
        <v>-4530.959999999999</v>
      </c>
      <c r="J36" s="341">
        <f t="shared" si="17"/>
        <v>0.9225913587207216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7999.419999999998</v>
      </c>
      <c r="S36" s="228">
        <f t="shared" si="16"/>
        <v>1.1738905305828233</v>
      </c>
      <c r="T36" s="237">
        <f>E36-жовтень!E30</f>
        <v>5800</v>
      </c>
      <c r="U36" s="237">
        <f>F36-жовтень!F30</f>
        <v>4353.93</v>
      </c>
      <c r="V36" s="299">
        <f t="shared" si="10"/>
        <v>-1446.0699999999997</v>
      </c>
      <c r="W36" s="341">
        <f>U36/T36*100</f>
        <v>75.06775862068966</v>
      </c>
      <c r="X36" s="363">
        <f t="shared" si="18"/>
        <v>0.0011658314775786494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112287.15000000001</v>
      </c>
      <c r="G37" s="223">
        <f t="shared" si="9"/>
        <v>-2631.8499999999913</v>
      </c>
      <c r="H37" s="379">
        <f t="shared" si="11"/>
        <v>0.977098217005021</v>
      </c>
      <c r="I37" s="299">
        <f t="shared" si="1"/>
        <v>-12471.849999999991</v>
      </c>
      <c r="J37" s="341">
        <f t="shared" si="17"/>
        <v>0.9000324625878695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12553.200000000012</v>
      </c>
      <c r="S37" s="228">
        <f t="shared" si="16"/>
        <v>1.1258668688044544</v>
      </c>
      <c r="T37" s="237">
        <f>E37-жовтень!E31</f>
        <v>10935</v>
      </c>
      <c r="U37" s="237">
        <f>F37-жовтень!F31</f>
        <v>9860.430000000008</v>
      </c>
      <c r="V37" s="299">
        <f t="shared" si="10"/>
        <v>-1074.5699999999924</v>
      </c>
      <c r="W37" s="341">
        <f>U37/T37*100</f>
        <v>90.17311385459541</v>
      </c>
      <c r="X37" s="363">
        <f t="shared" si="18"/>
        <v>-0.00625712571963688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50769.41</v>
      </c>
      <c r="G38" s="385">
        <f t="shared" si="9"/>
        <v>401.4100000000035</v>
      </c>
      <c r="H38" s="387">
        <f t="shared" si="11"/>
        <v>1.0079695441550192</v>
      </c>
      <c r="I38" s="388">
        <f t="shared" si="1"/>
        <v>-4198.5899999999965</v>
      </c>
      <c r="J38" s="389">
        <f t="shared" si="17"/>
        <v>0.9236175593072333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7957.840000000004</v>
      </c>
      <c r="S38" s="389">
        <f t="shared" si="16"/>
        <v>1.1858805925594413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93683.21</v>
      </c>
      <c r="G39" s="385">
        <f t="shared" si="9"/>
        <v>-1355.7899999999936</v>
      </c>
      <c r="H39" s="387">
        <f t="shared" si="11"/>
        <v>0.985734382727091</v>
      </c>
      <c r="I39" s="388">
        <f t="shared" si="1"/>
        <v>-10240.789999999994</v>
      </c>
      <c r="J39" s="389">
        <f t="shared" si="17"/>
        <v>0.901458854547554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11122.12000000001</v>
      </c>
      <c r="S39" s="389">
        <f t="shared" si="16"/>
        <v>1.1347138222133455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3232.63</v>
      </c>
      <c r="G40" s="385">
        <f t="shared" si="9"/>
        <v>-132.3699999999999</v>
      </c>
      <c r="H40" s="387">
        <f t="shared" si="11"/>
        <v>0.960662704309064</v>
      </c>
      <c r="I40" s="388">
        <f t="shared" si="1"/>
        <v>-332.3699999999999</v>
      </c>
      <c r="J40" s="389">
        <f t="shared" si="17"/>
        <v>0.9067685834502104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41.57999999999993</v>
      </c>
      <c r="S40" s="389">
        <f t="shared" si="16"/>
        <v>1.0130301938233497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18603.94</v>
      </c>
      <c r="G41" s="385">
        <f t="shared" si="9"/>
        <v>-1276.0600000000013</v>
      </c>
      <c r="H41" s="387">
        <f t="shared" si="11"/>
        <v>0.9358118712273641</v>
      </c>
      <c r="I41" s="388">
        <f t="shared" si="1"/>
        <v>-2231.0600000000013</v>
      </c>
      <c r="J41" s="389">
        <f t="shared" si="17"/>
        <v>0.8929176865850731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1431.1800000000003</v>
      </c>
      <c r="S41" s="389">
        <f t="shared" si="16"/>
        <v>1.0833401270384027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212800.75</v>
      </c>
      <c r="G47" s="150">
        <f t="shared" si="9"/>
        <v>25045.75</v>
      </c>
      <c r="H47" s="375">
        <f>F47/E47*100</f>
        <v>113.33959148890843</v>
      </c>
      <c r="I47" s="158">
        <f t="shared" si="1"/>
        <v>18406.649999999994</v>
      </c>
      <c r="J47" s="210">
        <f>F47/D47</f>
        <v>1.094687287319934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62770.76000000001</v>
      </c>
      <c r="S47" s="226">
        <f t="shared" si="20"/>
        <v>1.4183880836091505</v>
      </c>
      <c r="T47" s="157">
        <f>E47-жовтень!E35</f>
        <v>18700</v>
      </c>
      <c r="U47" s="160">
        <f>F47-жовтень!F35</f>
        <v>31942.23999999999</v>
      </c>
      <c r="V47" s="161">
        <f t="shared" si="10"/>
        <v>13242.23999999999</v>
      </c>
      <c r="W47" s="210">
        <f>U47/T47</f>
        <v>1.7081411764705878</v>
      </c>
      <c r="X47" s="363">
        <f t="shared" si="18"/>
        <v>0.19013371097932996</v>
      </c>
    </row>
    <row r="48" spans="1:24" s="6" customFormat="1" ht="15" customHeight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43314.11</v>
      </c>
      <c r="G49" s="103">
        <f>F49-E49</f>
        <v>3814.1100000000006</v>
      </c>
      <c r="H49" s="376">
        <f>F49/E49</f>
        <v>1.096559746835443</v>
      </c>
      <c r="I49" s="104">
        <f t="shared" si="1"/>
        <v>2314.1100000000006</v>
      </c>
      <c r="J49" s="109">
        <f>F49/D49</f>
        <v>1.056441707317073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6167.919999999998</v>
      </c>
      <c r="S49" s="216">
        <f t="shared" si="20"/>
        <v>1.1660444853159906</v>
      </c>
      <c r="T49" s="105">
        <f>E49-жовтень!E37</f>
        <v>4860</v>
      </c>
      <c r="U49" s="144">
        <f>F49-жовтень!F37</f>
        <v>8448.239999999998</v>
      </c>
      <c r="V49" s="106">
        <f t="shared" si="10"/>
        <v>3588.239999999998</v>
      </c>
      <c r="W49" s="109">
        <f>U49/T49</f>
        <v>1.7383209876543206</v>
      </c>
      <c r="X49" s="363">
        <f t="shared" si="18"/>
        <v>0.11942445535713042</v>
      </c>
    </row>
    <row r="50" spans="1:24" s="6" customFormat="1" ht="15" customHeight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169421.65</v>
      </c>
      <c r="G50" s="103">
        <f>F50-E50</f>
        <v>21221.649999999994</v>
      </c>
      <c r="H50" s="376">
        <f>F50/E50</f>
        <v>1.1431960188933872</v>
      </c>
      <c r="I50" s="104">
        <f t="shared" si="1"/>
        <v>16082.549999999988</v>
      </c>
      <c r="J50" s="109">
        <f>F50/D50</f>
        <v>1.1048822511675103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56591.15999999999</v>
      </c>
      <c r="S50" s="216">
        <f t="shared" si="20"/>
        <v>1.5015591087125473</v>
      </c>
      <c r="T50" s="105">
        <f>E50-жовтень!E38</f>
        <v>13840</v>
      </c>
      <c r="U50" s="144">
        <f>F50-жовтень!F38</f>
        <v>23494.160000000003</v>
      </c>
      <c r="V50" s="106">
        <f t="shared" si="10"/>
        <v>9654.160000000003</v>
      </c>
      <c r="W50" s="109">
        <f>U50/T50</f>
        <v>1.697554913294798</v>
      </c>
      <c r="X50" s="363">
        <f t="shared" si="18"/>
        <v>0.21342238497404908</v>
      </c>
    </row>
    <row r="51" spans="1:24" s="6" customFormat="1" ht="15" customHeight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11.89</v>
      </c>
      <c r="S51" s="216">
        <f t="shared" si="20"/>
        <v>1.2240015071590054</v>
      </c>
      <c r="T51" s="105">
        <f>E51-жовтень!E39</f>
        <v>0</v>
      </c>
      <c r="U51" s="144">
        <f>F51-жовтень!F39</f>
        <v>-0.1700000000000017</v>
      </c>
      <c r="V51" s="106">
        <f t="shared" si="10"/>
        <v>-0.1700000000000017</v>
      </c>
      <c r="W51" s="109"/>
      <c r="X51" s="363">
        <f t="shared" si="18"/>
        <v>0.22726355862692849</v>
      </c>
    </row>
    <row r="52" spans="1:24" s="6" customFormat="1" ht="15" customHeight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62689.93</v>
      </c>
      <c r="G53" s="151">
        <f>G54+G55+G56+G57+G58+G60+G62+G63+G64+G65+G66+G71+G72+G76+G59+G61</f>
        <v>512.0299999999985</v>
      </c>
      <c r="H53" s="205">
        <f aca="true" t="shared" si="21" ref="H53:H72">F53/E53</f>
        <v>1.0082349194810374</v>
      </c>
      <c r="I53" s="153">
        <f>F53-D53</f>
        <v>-605.0699999999997</v>
      </c>
      <c r="J53" s="219">
        <f aca="true" t="shared" si="22" ref="J53:J72">F53/D53</f>
        <v>0.990440477130895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1601.989999999998</v>
      </c>
      <c r="S53" s="205">
        <f>F53/Q53</f>
        <v>1.0262243251286587</v>
      </c>
      <c r="T53" s="151">
        <f>T54+T55+T56+T57+T58+T60+T62+T63+T64+T65+T66+T71+T72+T76+T59+T61</f>
        <v>11963.8</v>
      </c>
      <c r="U53" s="151">
        <f>U54+U55+U56+U57+U58+U60+U62+U63+U64+U65+U66+U71+U72+U76+U59+U61</f>
        <v>6499.11</v>
      </c>
      <c r="V53" s="151">
        <f>V54+V55+V56+V57+V58+V60+V62+V63+V64+V65+V66+V71+V72+V76</f>
        <v>-5461.610000000001</v>
      </c>
      <c r="W53" s="205">
        <f>U53/T53</f>
        <v>0.5432312475969173</v>
      </c>
      <c r="X53" s="363">
        <f t="shared" si="18"/>
        <v>0.10560566706325658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670.6</v>
      </c>
      <c r="G58" s="150">
        <f t="shared" si="23"/>
        <v>32.60000000000002</v>
      </c>
      <c r="H58" s="380">
        <f t="shared" si="21"/>
        <v>1.0510971786833856</v>
      </c>
      <c r="I58" s="165">
        <f t="shared" si="25"/>
        <v>10.600000000000023</v>
      </c>
      <c r="J58" s="218">
        <f t="shared" si="22"/>
        <v>1.016060606060606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445.09000000000003</v>
      </c>
      <c r="S58" s="218">
        <f t="shared" si="28"/>
        <v>2.973704048600949</v>
      </c>
      <c r="T58" s="157">
        <f>E58-жовтень!E46</f>
        <v>422</v>
      </c>
      <c r="U58" s="160">
        <f>F58-жовтень!F46</f>
        <v>27.519999999999982</v>
      </c>
      <c r="V58" s="161">
        <f t="shared" si="24"/>
        <v>-394.48</v>
      </c>
      <c r="W58" s="218">
        <f t="shared" si="29"/>
        <v>0.06521327014218005</v>
      </c>
      <c r="X58" s="363">
        <f t="shared" si="18"/>
        <v>0.23591004685871653</v>
      </c>
    </row>
    <row r="59" spans="1:24" s="6" customFormat="1" ht="46.5">
      <c r="A59" s="8"/>
      <c r="B59" s="130" t="s">
        <v>80</v>
      </c>
      <c r="C59" s="72">
        <v>21081500</v>
      </c>
      <c r="D59" s="150">
        <v>97.5</v>
      </c>
      <c r="E59" s="150">
        <v>88.4</v>
      </c>
      <c r="F59" s="156">
        <v>105.15</v>
      </c>
      <c r="G59" s="150">
        <f t="shared" si="23"/>
        <v>16.75</v>
      </c>
      <c r="H59" s="380">
        <f t="shared" si="21"/>
        <v>1.1894796380090498</v>
      </c>
      <c r="I59" s="165">
        <f t="shared" si="25"/>
        <v>7.650000000000006</v>
      </c>
      <c r="J59" s="218">
        <f t="shared" si="22"/>
        <v>1.0784615384615386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19.78</v>
      </c>
      <c r="S59" s="218">
        <f t="shared" si="28"/>
        <v>1.2316973175588615</v>
      </c>
      <c r="T59" s="157">
        <f>E59-жовтень!E47</f>
        <v>6.800000000000011</v>
      </c>
      <c r="U59" s="160">
        <f>F59-жовтень!F47</f>
        <v>26.72</v>
      </c>
      <c r="V59" s="161">
        <f t="shared" si="24"/>
        <v>19.919999999999987</v>
      </c>
      <c r="W59" s="218">
        <f t="shared" si="29"/>
        <v>3.9294117647058755</v>
      </c>
      <c r="X59" s="363">
        <f t="shared" si="18"/>
        <v>0.10283312860436333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1097.15</v>
      </c>
      <c r="G60" s="150">
        <f t="shared" si="23"/>
        <v>137.1500000000001</v>
      </c>
      <c r="H60" s="380">
        <f t="shared" si="21"/>
        <v>1.1428645833333335</v>
      </c>
      <c r="I60" s="165">
        <f t="shared" si="25"/>
        <v>117.15000000000009</v>
      </c>
      <c r="J60" s="218">
        <f t="shared" si="22"/>
        <v>1.1195408163265308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467.3700000000001</v>
      </c>
      <c r="S60" s="218">
        <f t="shared" si="28"/>
        <v>1.7421162945790596</v>
      </c>
      <c r="T60" s="157">
        <f>E60-жовтень!E48</f>
        <v>260</v>
      </c>
      <c r="U60" s="160">
        <f>F60-жовтень!F48</f>
        <v>89.21000000000004</v>
      </c>
      <c r="V60" s="161">
        <f t="shared" si="24"/>
        <v>-170.78999999999996</v>
      </c>
      <c r="W60" s="218">
        <f t="shared" si="29"/>
        <v>0.34311538461538477</v>
      </c>
      <c r="X60" s="363">
        <f t="shared" si="18"/>
        <v>0.5036949027450586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3" t="s">
        <v>78</v>
      </c>
      <c r="C62" s="72">
        <v>22012500</v>
      </c>
      <c r="D62" s="150">
        <v>19000</v>
      </c>
      <c r="E62" s="150">
        <v>18300</v>
      </c>
      <c r="F62" s="156">
        <v>18441.35</v>
      </c>
      <c r="G62" s="150">
        <f t="shared" si="23"/>
        <v>141.34999999999854</v>
      </c>
      <c r="H62" s="380">
        <f t="shared" si="21"/>
        <v>1.007724043715847</v>
      </c>
      <c r="I62" s="165">
        <f t="shared" si="25"/>
        <v>-558.6500000000015</v>
      </c>
      <c r="J62" s="218">
        <f t="shared" si="22"/>
        <v>0.9705973684210526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8202.14</v>
      </c>
      <c r="S62" s="218">
        <f t="shared" si="28"/>
        <v>1.8010520342878016</v>
      </c>
      <c r="T62" s="157">
        <f>E62-жовтень!E50</f>
        <v>8660</v>
      </c>
      <c r="U62" s="160">
        <f>F62-жовтень!F50</f>
        <v>1940.2999999999993</v>
      </c>
      <c r="V62" s="161">
        <f t="shared" si="24"/>
        <v>-6719.700000000001</v>
      </c>
      <c r="W62" s="218">
        <f t="shared" si="29"/>
        <v>0.22405311778290984</v>
      </c>
      <c r="X62" s="363">
        <f t="shared" si="18"/>
        <v>0.13766836171174557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613.18</v>
      </c>
      <c r="G63" s="150">
        <f t="shared" si="23"/>
        <v>108.17999999999995</v>
      </c>
      <c r="H63" s="380">
        <f t="shared" si="21"/>
        <v>1.2142178217821782</v>
      </c>
      <c r="I63" s="165">
        <f t="shared" si="25"/>
        <v>83.17999999999995</v>
      </c>
      <c r="J63" s="218">
        <f t="shared" si="22"/>
        <v>1.156943396226415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330.53</v>
      </c>
      <c r="S63" s="218">
        <f t="shared" si="28"/>
        <v>2.1693967804705467</v>
      </c>
      <c r="T63" s="157">
        <f>E63-жовтень!E51</f>
        <v>245</v>
      </c>
      <c r="U63" s="160">
        <f>F63-жовтень!F51</f>
        <v>82.21999999999991</v>
      </c>
      <c r="V63" s="161">
        <f t="shared" si="24"/>
        <v>-162.7800000000001</v>
      </c>
      <c r="W63" s="218">
        <f t="shared" si="29"/>
        <v>0.3355918367346935</v>
      </c>
      <c r="X63" s="363">
        <f t="shared" si="18"/>
        <v>0.5297989459771206</v>
      </c>
    </row>
    <row r="64" spans="1:24" s="6" customFormat="1" ht="31.5">
      <c r="A64" s="8"/>
      <c r="B64" s="355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785.58</v>
      </c>
      <c r="G66" s="150">
        <f t="shared" si="23"/>
        <v>-199.41999999999996</v>
      </c>
      <c r="H66" s="380">
        <f t="shared" si="21"/>
        <v>0.7975431472081219</v>
      </c>
      <c r="I66" s="165">
        <f t="shared" si="25"/>
        <v>-201.41999999999996</v>
      </c>
      <c r="J66" s="218">
        <f t="shared" si="22"/>
        <v>0.7959270516717326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-4317.16</v>
      </c>
      <c r="S66" s="218">
        <f t="shared" si="28"/>
        <v>0.1539525823381164</v>
      </c>
      <c r="T66" s="157">
        <f>E66-жовтень!E54</f>
        <v>0</v>
      </c>
      <c r="U66" s="160">
        <f>F66-жовтень!F54</f>
        <v>78.85000000000002</v>
      </c>
      <c r="V66" s="161">
        <f t="shared" si="24"/>
        <v>78.85000000000002</v>
      </c>
      <c r="W66" s="218" t="e">
        <f t="shared" si="29"/>
        <v>#DIV/0!</v>
      </c>
      <c r="X66" s="363">
        <f t="shared" si="18"/>
        <v>-0.037276827078817965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661.76</v>
      </c>
      <c r="G67" s="103">
        <f t="shared" si="23"/>
        <v>-158.24</v>
      </c>
      <c r="H67" s="376">
        <f t="shared" si="21"/>
        <v>0.8070243902439024</v>
      </c>
      <c r="I67" s="104">
        <f t="shared" si="25"/>
        <v>-158.24</v>
      </c>
      <c r="J67" s="109">
        <f t="shared" si="22"/>
        <v>0.8070243902439024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-123</v>
      </c>
      <c r="S67" s="371">
        <f t="shared" si="28"/>
        <v>0.8432641826800551</v>
      </c>
      <c r="T67" s="105">
        <f>E67-жовтень!E55</f>
        <v>0</v>
      </c>
      <c r="U67" s="144">
        <f>F67-жовтень!F55</f>
        <v>66.60000000000002</v>
      </c>
      <c r="V67" s="106">
        <f t="shared" si="24"/>
        <v>66.60000000000002</v>
      </c>
      <c r="W67" s="109" t="e">
        <f t="shared" si="29"/>
        <v>#DIV/0!</v>
      </c>
      <c r="X67" s="363">
        <f t="shared" si="18"/>
        <v>-0.138524828466842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123.64</v>
      </c>
      <c r="G70" s="103">
        <f t="shared" si="23"/>
        <v>-41.36</v>
      </c>
      <c r="H70" s="376">
        <f t="shared" si="21"/>
        <v>0.7493333333333333</v>
      </c>
      <c r="I70" s="104">
        <f t="shared" si="25"/>
        <v>-41.36</v>
      </c>
      <c r="J70" s="109">
        <f t="shared" si="22"/>
        <v>0.7493333333333333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-4193.929999999999</v>
      </c>
      <c r="S70" s="371">
        <f t="shared" si="28"/>
        <v>0.028636478389464447</v>
      </c>
      <c r="T70" s="105">
        <f>E70-жовтень!E58</f>
        <v>0</v>
      </c>
      <c r="U70" s="144">
        <f>F70-жовтень!F58</f>
        <v>12.239999999999995</v>
      </c>
      <c r="V70" s="106">
        <f t="shared" si="24"/>
        <v>12.239999999999995</v>
      </c>
      <c r="W70" s="109" t="e">
        <f t="shared" si="29"/>
        <v>#DIV/0!</v>
      </c>
      <c r="X70" s="363">
        <f t="shared" si="18"/>
        <v>-0.009507284296226326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F71-жовтень!F59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7365.29</v>
      </c>
      <c r="G72" s="150">
        <f t="shared" si="23"/>
        <v>265.28999999999996</v>
      </c>
      <c r="H72" s="380">
        <f t="shared" si="21"/>
        <v>1.0373647887323945</v>
      </c>
      <c r="I72" s="165">
        <f t="shared" si="25"/>
        <v>15.289999999999964</v>
      </c>
      <c r="J72" s="218">
        <f t="shared" si="22"/>
        <v>1.0020802721088435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1420.2699999999995</v>
      </c>
      <c r="S72" s="218">
        <f t="shared" si="28"/>
        <v>1.2389007942782362</v>
      </c>
      <c r="T72" s="157">
        <f>E72-жовтень!E60</f>
        <v>350</v>
      </c>
      <c r="U72" s="160">
        <f>F72-жовтень!F60</f>
        <v>565.3699999999999</v>
      </c>
      <c r="V72" s="161">
        <f t="shared" si="24"/>
        <v>215.3699999999999</v>
      </c>
      <c r="W72" s="218">
        <f t="shared" si="29"/>
        <v>1.6153428571428567</v>
      </c>
      <c r="X72" s="363">
        <f t="shared" si="18"/>
        <v>0.11249163343007296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1948.88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1.5516066367313144</v>
      </c>
      <c r="T74" s="157"/>
      <c r="U74" s="179">
        <f>F74-жовтень!F62</f>
        <v>175.67000000000007</v>
      </c>
      <c r="V74" s="166">
        <f t="shared" si="24"/>
        <v>175.67000000000007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18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1268911.6399999997</v>
      </c>
      <c r="G79" s="151">
        <f>F79-E79</f>
        <v>24154.339999999618</v>
      </c>
      <c r="H79" s="377">
        <f>F79/E79</f>
        <v>1.0194048590837745</v>
      </c>
      <c r="I79" s="153">
        <f>F79-D79</f>
        <v>-88579.46000000043</v>
      </c>
      <c r="J79" s="219">
        <f>F79/D79</f>
        <v>0.9347476679589277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317210.62999999966</v>
      </c>
      <c r="S79" s="219">
        <f>F79/Q79</f>
        <v>1.3333091240493689</v>
      </c>
      <c r="T79" s="151">
        <f>T8+T53+T77+T78</f>
        <v>129986</v>
      </c>
      <c r="U79" s="151">
        <f>U8+U53+U77+U78</f>
        <v>136867.48999999996</v>
      </c>
      <c r="V79" s="194">
        <f>U79-T79</f>
        <v>6881.489999999962</v>
      </c>
      <c r="W79" s="219">
        <f>U79/T79</f>
        <v>1.0529402397181231</v>
      </c>
      <c r="X79" s="363">
        <f t="shared" si="18"/>
        <v>0.04484064891287787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E84-жовтень!E72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938.1</v>
      </c>
      <c r="G88" s="162">
        <f t="shared" si="32"/>
        <v>-54905.41</v>
      </c>
      <c r="H88" s="380">
        <f>F88/E88</f>
        <v>0.01679872916297704</v>
      </c>
      <c r="I88" s="167">
        <f>F88-D88</f>
        <v>-73520.64</v>
      </c>
      <c r="J88" s="209">
        <f>F88/D88</f>
        <v>0.0125989239141033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-1322.5300000000002</v>
      </c>
      <c r="S88" s="209">
        <f t="shared" si="31"/>
        <v>0.41497281731198826</v>
      </c>
      <c r="T88" s="157">
        <f>E88-жовтень!E76</f>
        <v>-2805.5999999999985</v>
      </c>
      <c r="U88" s="160">
        <f>F88-жовтень!F76</f>
        <v>0.07000000000005002</v>
      </c>
      <c r="V88" s="167">
        <f t="shared" si="35"/>
        <v>2805.6699999999987</v>
      </c>
      <c r="W88" s="209">
        <f>U88/T88</f>
        <v>-2.4950099800417045E-05</v>
      </c>
      <c r="X88" s="363">
        <f t="shared" si="18"/>
        <v>-15.70516167096359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7854.99</v>
      </c>
      <c r="G89" s="162">
        <f t="shared" si="32"/>
        <v>-25775.010000000002</v>
      </c>
      <c r="H89" s="380">
        <f>F89/E89</f>
        <v>0.23357091882247993</v>
      </c>
      <c r="I89" s="167">
        <f aca="true" t="shared" si="36" ref="I89:I98">F89-D89</f>
        <v>-46145.01</v>
      </c>
      <c r="J89" s="209">
        <f>F89/D89</f>
        <v>0.14546277777777777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561.3599999999997</v>
      </c>
      <c r="S89" s="209">
        <f t="shared" si="31"/>
        <v>1.0769657906968135</v>
      </c>
      <c r="T89" s="157">
        <f>E89-жовтень!E77</f>
        <v>3600</v>
      </c>
      <c r="U89" s="160">
        <f>F89-жовтень!F77</f>
        <v>271.78999999999996</v>
      </c>
      <c r="V89" s="167">
        <f t="shared" si="35"/>
        <v>-3328.21</v>
      </c>
      <c r="W89" s="209">
        <f>U89/T89</f>
        <v>0.07549722222222222</v>
      </c>
      <c r="X89" s="363">
        <f t="shared" si="18"/>
        <v>-4.097544571260186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15706.54</v>
      </c>
      <c r="G90" s="162">
        <f t="shared" si="32"/>
        <v>-39593.46</v>
      </c>
      <c r="H90" s="380">
        <f>F90/E90</f>
        <v>0.2840242314647378</v>
      </c>
      <c r="I90" s="167">
        <f t="shared" si="36"/>
        <v>-63293.46</v>
      </c>
      <c r="J90" s="209">
        <f>F90/D90</f>
        <v>0.19881696202531646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3331.4100000000017</v>
      </c>
      <c r="S90" s="209">
        <f t="shared" si="31"/>
        <v>1.269202020504027</v>
      </c>
      <c r="T90" s="157">
        <f>E90-жовтень!E78</f>
        <v>23700</v>
      </c>
      <c r="U90" s="160">
        <f>F90-жовтень!F78</f>
        <v>817.2300000000014</v>
      </c>
      <c r="V90" s="167">
        <f t="shared" si="35"/>
        <v>-22882.769999999997</v>
      </c>
      <c r="W90" s="209">
        <f>U90/T90</f>
        <v>0.034482278481012714</v>
      </c>
      <c r="X90" s="363">
        <f t="shared" si="18"/>
        <v>-5.004029781763706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16</v>
      </c>
      <c r="G91" s="162">
        <f t="shared" si="32"/>
        <v>5</v>
      </c>
      <c r="H91" s="380">
        <f>F91/E91</f>
        <v>1.4545454545454546</v>
      </c>
      <c r="I91" s="167">
        <f t="shared" si="36"/>
        <v>4</v>
      </c>
      <c r="J91" s="209">
        <f>F91/D91</f>
        <v>1.3333333333333333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4</v>
      </c>
      <c r="S91" s="209">
        <f t="shared" si="31"/>
        <v>1.3333333333333333</v>
      </c>
      <c r="T91" s="157">
        <f>E91-жовтень!E79</f>
        <v>1</v>
      </c>
      <c r="U91" s="160">
        <f>F91-жовтень!F79</f>
        <v>4</v>
      </c>
      <c r="V91" s="167">
        <f t="shared" si="35"/>
        <v>3</v>
      </c>
      <c r="W91" s="209">
        <f>U91/T91</f>
        <v>4</v>
      </c>
      <c r="X91" s="363">
        <f t="shared" si="18"/>
        <v>0.41025641025641013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24515.63</v>
      </c>
      <c r="G92" s="185">
        <f t="shared" si="32"/>
        <v>-120268.88</v>
      </c>
      <c r="H92" s="383">
        <f>F92/E92</f>
        <v>0.16932495057654992</v>
      </c>
      <c r="I92" s="187">
        <f t="shared" si="36"/>
        <v>-182955.11</v>
      </c>
      <c r="J92" s="214">
        <f>F92/D92</f>
        <v>0.1181642770445606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2574.2400000000016</v>
      </c>
      <c r="S92" s="209">
        <f t="shared" si="31"/>
        <v>1.1173234694793721</v>
      </c>
      <c r="T92" s="185">
        <f>T88+T89+T90+T91</f>
        <v>24495.4</v>
      </c>
      <c r="U92" s="189">
        <f>U88+U89+U90+U91</f>
        <v>1093.0900000000015</v>
      </c>
      <c r="V92" s="187">
        <f t="shared" si="35"/>
        <v>-23402.31</v>
      </c>
      <c r="W92" s="214">
        <f>U92/T92</f>
        <v>0.04462429680674745</v>
      </c>
      <c r="X92" s="363">
        <f t="shared" si="18"/>
        <v>-6.383168740658023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8032.95</v>
      </c>
      <c r="G95" s="162">
        <f t="shared" si="32"/>
        <v>-326.5500000000002</v>
      </c>
      <c r="H95" s="380">
        <f>F95/E95</f>
        <v>0.9609366588910819</v>
      </c>
      <c r="I95" s="167">
        <f t="shared" si="36"/>
        <v>-327.0500000000002</v>
      </c>
      <c r="J95" s="209">
        <f>F95/D95</f>
        <v>0.9608791866028707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-317.71000000000004</v>
      </c>
      <c r="S95" s="209">
        <f t="shared" si="31"/>
        <v>0.9619539054398095</v>
      </c>
      <c r="T95" s="157">
        <f>E95-жовтень!E83</f>
        <v>1959.5</v>
      </c>
      <c r="U95" s="160">
        <f>F95-жовтень!F83</f>
        <v>1240.0199999999995</v>
      </c>
      <c r="V95" s="167">
        <f t="shared" si="35"/>
        <v>-719.4800000000005</v>
      </c>
      <c r="W95" s="209">
        <f>U95/T95</f>
        <v>0.6328247001786168</v>
      </c>
      <c r="X95" s="363">
        <f t="shared" si="18"/>
        <v>-0.03892245999020816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8082.22</v>
      </c>
      <c r="G97" s="185">
        <f t="shared" si="32"/>
        <v>-311.27999999999975</v>
      </c>
      <c r="H97" s="383">
        <f>F97/E97</f>
        <v>0.962914159766486</v>
      </c>
      <c r="I97" s="187">
        <f t="shared" si="36"/>
        <v>-317.77999999999975</v>
      </c>
      <c r="J97" s="214">
        <f>F97/D97</f>
        <v>0.9621690476190476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-323.8599999999997</v>
      </c>
      <c r="S97" s="209">
        <f t="shared" si="31"/>
        <v>0.9614731242148541</v>
      </c>
      <c r="T97" s="185">
        <f>T93+T96+T94+T95</f>
        <v>1974.5</v>
      </c>
      <c r="U97" s="189">
        <f>U93+U96+U94+U95</f>
        <v>1251.0699999999995</v>
      </c>
      <c r="V97" s="187">
        <f t="shared" si="35"/>
        <v>-723.4300000000005</v>
      </c>
      <c r="W97" s="214">
        <f>U97/T97</f>
        <v>0.6336135730564697</v>
      </c>
      <c r="X97" s="363">
        <f t="shared" si="18"/>
        <v>-0.03566011771459876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29.03</v>
      </c>
      <c r="G98" s="162">
        <f t="shared" si="32"/>
        <v>-8.969999999999999</v>
      </c>
      <c r="H98" s="380">
        <f>F98/E98</f>
        <v>0.7639473684210527</v>
      </c>
      <c r="I98" s="167">
        <f t="shared" si="36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1.240000000000002</v>
      </c>
      <c r="S98" s="209">
        <f t="shared" si="31"/>
        <v>1.044620367038503</v>
      </c>
      <c r="T98" s="157">
        <f>E98-жовтень!E86</f>
        <v>2.700000000000003</v>
      </c>
      <c r="U98" s="160">
        <f>F98-жовтень!F86</f>
        <v>1.7800000000000011</v>
      </c>
      <c r="V98" s="167">
        <f t="shared" si="35"/>
        <v>-0.9200000000000017</v>
      </c>
      <c r="W98" s="209">
        <f>U98/T98</f>
        <v>0.659259259259259</v>
      </c>
      <c r="X98" s="363">
        <f t="shared" si="18"/>
        <v>-0.03095280024142899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32659.82</v>
      </c>
      <c r="G100" s="309">
        <f>F100-E100</f>
        <v>-120556.19</v>
      </c>
      <c r="H100" s="384">
        <f>F100/E100</f>
        <v>0.21316192739910142</v>
      </c>
      <c r="I100" s="301">
        <f>F100-D100</f>
        <v>-183248.91999999998</v>
      </c>
      <c r="J100" s="302">
        <f>F100/D100</f>
        <v>0.1512667805851676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2294.739999999998</v>
      </c>
      <c r="S100" s="302">
        <f t="shared" si="31"/>
        <v>1.0755716764125107</v>
      </c>
      <c r="T100" s="308">
        <f>T86+T87+T92+T97+T98</f>
        <v>26472.600000000002</v>
      </c>
      <c r="U100" s="308">
        <f>U86+U87+U92+U97+U98</f>
        <v>2345.940000000001</v>
      </c>
      <c r="V100" s="301">
        <f>U100-T100</f>
        <v>-24126.66</v>
      </c>
      <c r="W100" s="302">
        <f>U100/T100</f>
        <v>0.08861766505745566</v>
      </c>
      <c r="X100" s="363">
        <f aca="true" t="shared" si="37" ref="X100:X161">S100-P100</f>
        <v>-4.903582164948321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1301571.4599999997</v>
      </c>
      <c r="G101" s="309">
        <f>F101-E101</f>
        <v>-96401.85000000033</v>
      </c>
      <c r="H101" s="384">
        <f>F101/E101</f>
        <v>0.9310417092297704</v>
      </c>
      <c r="I101" s="301">
        <f>F101-D101</f>
        <v>-271828.38000000035</v>
      </c>
      <c r="J101" s="302">
        <f>F101/D101</f>
        <v>0.8272350275566316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319505.36999999965</v>
      </c>
      <c r="S101" s="302">
        <f t="shared" si="31"/>
        <v>1.3253399880653651</v>
      </c>
      <c r="T101" s="309">
        <f>T79+T100</f>
        <v>156458.6</v>
      </c>
      <c r="U101" s="309">
        <f>U79+U100</f>
        <v>139213.42999999996</v>
      </c>
      <c r="V101" s="301">
        <f>U101-T101</f>
        <v>-17245.170000000042</v>
      </c>
      <c r="W101" s="302">
        <f>U101/T101</f>
        <v>0.8897780626951791</v>
      </c>
      <c r="X101" s="363">
        <f t="shared" si="37"/>
        <v>-0.11857032187743877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0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0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43069</v>
      </c>
      <c r="D105" s="29">
        <v>13304.2</v>
      </c>
      <c r="G105" s="4" t="s">
        <v>58</v>
      </c>
      <c r="U105" s="443"/>
      <c r="V105" s="443"/>
      <c r="X105" s="363">
        <f t="shared" si="37"/>
        <v>0</v>
      </c>
    </row>
    <row r="106" spans="3:24" ht="15">
      <c r="C106" s="81">
        <v>43068</v>
      </c>
      <c r="D106" s="29">
        <v>11558.5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>
        <f t="shared" si="37"/>
        <v>0</v>
      </c>
    </row>
    <row r="107" spans="3:24" ht="15.75" customHeight="1">
      <c r="C107" s="81">
        <v>43067</v>
      </c>
      <c r="D107" s="29">
        <v>5169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>
        <f t="shared" si="37"/>
        <v>0</v>
      </c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37" t="s">
        <v>56</v>
      </c>
      <c r="C109" s="438"/>
      <c r="D109" s="133">
        <f>374516.26/1000</f>
        <v>374.51626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1748.4099999999999</v>
      </c>
      <c r="G112" s="68">
        <f>G60+G63+G64</f>
        <v>264.41</v>
      </c>
      <c r="H112" s="69"/>
      <c r="I112" s="69"/>
      <c r="T112" s="29">
        <f>T60+T63+T64</f>
        <v>506</v>
      </c>
      <c r="U112" s="202">
        <f>U60+U63+U64</f>
        <v>178.62999999999994</v>
      </c>
      <c r="V112" s="29">
        <f>V60+V63+V64</f>
        <v>-327.37000000000006</v>
      </c>
      <c r="X112" s="363">
        <f t="shared" si="37"/>
        <v>0</v>
      </c>
    </row>
    <row r="113" spans="4:24" ht="15" hidden="1">
      <c r="D113" s="78"/>
      <c r="I113" s="29"/>
      <c r="U113" s="476"/>
      <c r="V113" s="476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1208875.1699999997</v>
      </c>
      <c r="G114" s="29">
        <f>F114-E114</f>
        <v>25700.269999999553</v>
      </c>
      <c r="H114" s="230">
        <f>F114/E114</f>
        <v>1.02172144625448</v>
      </c>
      <c r="I114" s="29">
        <f>F114-D114</f>
        <v>-85916.4300000004</v>
      </c>
      <c r="J114" s="230">
        <f>F114/D114</f>
        <v>0.9336445880557146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131328.93999999997</v>
      </c>
      <c r="V114" s="29">
        <f>U114-T114</f>
        <v>13193.739999999976</v>
      </c>
      <c r="W114" s="230">
        <f>U114/T114</f>
        <v>1.1116833932646661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60012.6</v>
      </c>
      <c r="G115" s="29">
        <f>G55+G56+G58+G60+G62+G63+G64+G65+G66+G72+G76+G59</f>
        <v>-1541.8000000000018</v>
      </c>
      <c r="H115" s="230">
        <f>F115/E115</f>
        <v>0.9748730494449264</v>
      </c>
      <c r="I115" s="29">
        <f>I55+I56+I58+I60+I62+I63+I64+I65+I66+I72+I76+I59</f>
        <v>-2658.900000000002</v>
      </c>
      <c r="J115" s="230">
        <f>F115/D115</f>
        <v>0.957497626702193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-516.5700000000022</v>
      </c>
      <c r="S115" s="29">
        <f>S55+S56+S58+S60+S62+S63+S64+S65+S66+S72+S76+S59</f>
        <v>20.34811763501909</v>
      </c>
      <c r="T115" s="29">
        <f>T55+T56+T58+T60+T62+T63+T64+T65+T66+T72+T76+T59+T78</f>
        <v>11827.8</v>
      </c>
      <c r="U115" s="229">
        <f>U55+U56+U58+U60+U62+U63+U64+U65+U66+U72+U76+U59+U78</f>
        <v>5538.549999999999</v>
      </c>
      <c r="V115" s="29">
        <f>V55+V56+V58+V60+V62+V63+V64+V65+V66+V72+V76+V59</f>
        <v>-6289.280000000001</v>
      </c>
      <c r="W115" s="230">
        <f>U115/T115</f>
        <v>0.4682654424322359</v>
      </c>
      <c r="X115" s="363">
        <f t="shared" si="37"/>
        <v>20.34811763501909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52914.14</v>
      </c>
      <c r="G123" s="192">
        <f>F123-E123</f>
        <v>-118403.93000000001</v>
      </c>
      <c r="H123" s="193">
        <f>F123/E123*100</f>
        <v>30.886490841275528</v>
      </c>
      <c r="I123" s="194">
        <f>F123-D123</f>
        <v>-235402.81999999995</v>
      </c>
      <c r="J123" s="194">
        <f>F123/D123*100</f>
        <v>18.352767038054232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49874.27</v>
      </c>
      <c r="S123" s="269">
        <f>F123/Q123</f>
        <v>17.40671147121423</v>
      </c>
      <c r="T123" s="272"/>
      <c r="U123" s="272"/>
      <c r="V123" s="273"/>
      <c r="W123" s="273"/>
      <c r="X123" s="363">
        <f t="shared" si="37"/>
        <v>17.40671147121423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1321825.7799999996</v>
      </c>
      <c r="G124" s="192">
        <f>F124-E124</f>
        <v>-94249.59000000055</v>
      </c>
      <c r="H124" s="193">
        <f>F124/E124*100</f>
        <v>93.34430977356801</v>
      </c>
      <c r="I124" s="194">
        <f>F124-D124</f>
        <v>-323982.2800000005</v>
      </c>
      <c r="J124" s="194">
        <f>F124/D124*100</f>
        <v>80.31469842236643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336719.8199999996</v>
      </c>
      <c r="S124" s="269">
        <f>F124/Q124</f>
        <v>1.3418107631792215</v>
      </c>
      <c r="T124" s="274"/>
      <c r="U124" s="274"/>
      <c r="V124" s="273"/>
      <c r="W124" s="273"/>
      <c r="X124" s="363">
        <f t="shared" si="37"/>
        <v>1.3418107631792215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19" sqref="R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16384" width="9.125" style="4" customWidth="1"/>
  </cols>
  <sheetData>
    <row r="1" spans="1:25" s="1" customFormat="1" ht="26.25" customHeight="1">
      <c r="A1" s="462" t="s">
        <v>260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</row>
    <row r="2" spans="2:25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244</v>
      </c>
      <c r="U3" s="473" t="s">
        <v>252</v>
      </c>
      <c r="V3" s="473"/>
      <c r="W3" s="473"/>
      <c r="X3" s="473"/>
      <c r="Y3" s="473"/>
    </row>
    <row r="4" spans="1:25" ht="22.5" customHeight="1">
      <c r="A4" s="464"/>
      <c r="B4" s="466"/>
      <c r="C4" s="467"/>
      <c r="D4" s="468"/>
      <c r="E4" s="474" t="s">
        <v>249</v>
      </c>
      <c r="F4" s="456" t="s">
        <v>33</v>
      </c>
      <c r="G4" s="445" t="s">
        <v>250</v>
      </c>
      <c r="H4" s="458" t="s">
        <v>251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261</v>
      </c>
      <c r="V4" s="445" t="s">
        <v>49</v>
      </c>
      <c r="W4" s="447" t="s">
        <v>48</v>
      </c>
      <c r="X4" s="91" t="s">
        <v>64</v>
      </c>
      <c r="Y4" s="91"/>
    </row>
    <row r="5" spans="1:25" ht="77.2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77" t="s">
        <v>248</v>
      </c>
      <c r="O5" s="478"/>
      <c r="P5" s="479"/>
      <c r="Q5" s="454" t="s">
        <v>253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43"/>
      <c r="V93" s="443"/>
    </row>
    <row r="94" spans="3:22" ht="15">
      <c r="C94" s="81">
        <v>43038</v>
      </c>
      <c r="D94" s="29">
        <v>12345.6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</row>
    <row r="95" spans="3:22" ht="15.75" customHeight="1">
      <c r="C95" s="81">
        <v>43035</v>
      </c>
      <c r="D95" s="29">
        <v>10115.9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</row>
    <row r="96" spans="3:20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37" t="s">
        <v>56</v>
      </c>
      <c r="C97" s="438"/>
      <c r="D97" s="133">
        <v>0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76"/>
      <c r="V101" s="476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7" sqref="A97:IV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62" t="s">
        <v>242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  <c r="Z1" s="312"/>
    </row>
    <row r="2" spans="2:26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239</v>
      </c>
      <c r="U3" s="473" t="s">
        <v>241</v>
      </c>
      <c r="V3" s="473"/>
      <c r="W3" s="473"/>
      <c r="X3" s="473"/>
      <c r="Y3" s="473"/>
      <c r="Z3" s="359"/>
    </row>
    <row r="4" spans="1:25" ht="22.5" customHeight="1">
      <c r="A4" s="464"/>
      <c r="B4" s="466"/>
      <c r="C4" s="467"/>
      <c r="D4" s="468"/>
      <c r="E4" s="474" t="s">
        <v>236</v>
      </c>
      <c r="F4" s="456" t="s">
        <v>33</v>
      </c>
      <c r="G4" s="445" t="s">
        <v>237</v>
      </c>
      <c r="H4" s="458" t="s">
        <v>238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243</v>
      </c>
      <c r="V4" s="445" t="s">
        <v>49</v>
      </c>
      <c r="W4" s="447" t="s">
        <v>48</v>
      </c>
      <c r="X4" s="91" t="s">
        <v>64</v>
      </c>
      <c r="Y4" s="91"/>
    </row>
    <row r="5" spans="1:25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240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 hidden="1">
      <c r="B90" s="20" t="s">
        <v>34</v>
      </c>
      <c r="U90" s="25"/>
      <c r="Z90" s="363">
        <f t="shared" si="40"/>
        <v>0</v>
      </c>
    </row>
    <row r="91" spans="2:26" ht="15" hidden="1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 hidden="1">
      <c r="B92" s="52" t="s">
        <v>53</v>
      </c>
      <c r="C92" s="29" t="e">
        <f>IF(V67&lt;0,ABS(V67/C91),0)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 hidden="1">
      <c r="B93" s="53" t="s">
        <v>55</v>
      </c>
      <c r="C93" s="81">
        <v>43007</v>
      </c>
      <c r="D93" s="29">
        <v>16930.7</v>
      </c>
      <c r="G93" s="4" t="s">
        <v>58</v>
      </c>
      <c r="U93" s="443"/>
      <c r="V93" s="443"/>
      <c r="Z93" s="363">
        <f t="shared" si="40"/>
        <v>0</v>
      </c>
    </row>
    <row r="94" spans="3:26" ht="15" hidden="1">
      <c r="C94" s="81">
        <v>43006</v>
      </c>
      <c r="D94" s="29">
        <v>10724.7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  <c r="Z94" s="363">
        <f t="shared" si="40"/>
        <v>0</v>
      </c>
    </row>
    <row r="95" spans="3:26" ht="15.75" customHeight="1" hidden="1">
      <c r="C95" s="81">
        <v>43005</v>
      </c>
      <c r="D95" s="29">
        <v>4636.5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  <c r="Z95" s="363">
        <f t="shared" si="40"/>
        <v>0</v>
      </c>
    </row>
    <row r="96" spans="3:26" ht="15.75" customHeight="1" hidden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 hidden="1">
      <c r="B97" s="437" t="s">
        <v>56</v>
      </c>
      <c r="C97" s="438"/>
      <c r="D97" s="133">
        <v>980.44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40" t="s">
        <v>59</v>
      </c>
      <c r="C99" s="441"/>
      <c r="D99" s="80"/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76"/>
      <c r="V101" s="476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2" fitToWidth="1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3" sqref="M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230</v>
      </c>
      <c r="O3" s="473" t="s">
        <v>235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227</v>
      </c>
      <c r="F4" s="456" t="s">
        <v>33</v>
      </c>
      <c r="G4" s="445" t="s">
        <v>228</v>
      </c>
      <c r="H4" s="458" t="s">
        <v>229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234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231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43"/>
      <c r="P93" s="443"/>
    </row>
    <row r="94" spans="3:16" ht="15">
      <c r="C94" s="81">
        <v>42977</v>
      </c>
      <c r="D94" s="29">
        <v>9672.2</v>
      </c>
      <c r="G94" s="439"/>
      <c r="H94" s="439"/>
      <c r="I94" s="118"/>
      <c r="J94" s="295"/>
      <c r="K94" s="295"/>
      <c r="L94" s="295"/>
      <c r="M94" s="295"/>
      <c r="N94" s="295"/>
      <c r="O94" s="443"/>
      <c r="P94" s="443"/>
    </row>
    <row r="95" spans="3:16" ht="15.75" customHeight="1">
      <c r="C95" s="81">
        <v>42976</v>
      </c>
      <c r="D95" s="29">
        <v>5224.7</v>
      </c>
      <c r="F95" s="68"/>
      <c r="G95" s="439"/>
      <c r="H95" s="439"/>
      <c r="I95" s="118"/>
      <c r="J95" s="296"/>
      <c r="K95" s="296"/>
      <c r="L95" s="296"/>
      <c r="M95" s="296"/>
      <c r="N95" s="296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</row>
    <row r="97" spans="2:14" ht="18" customHeight="1">
      <c r="B97" s="437" t="s">
        <v>56</v>
      </c>
      <c r="C97" s="438"/>
      <c r="D97" s="133">
        <v>8826.98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218</v>
      </c>
      <c r="O3" s="473" t="s">
        <v>220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219</v>
      </c>
      <c r="F4" s="456" t="s">
        <v>33</v>
      </c>
      <c r="G4" s="445" t="s">
        <v>221</v>
      </c>
      <c r="H4" s="458" t="s">
        <v>222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226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225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43"/>
      <c r="P93" s="443"/>
    </row>
    <row r="94" spans="3:16" ht="15">
      <c r="C94" s="81">
        <v>42944</v>
      </c>
      <c r="D94" s="29">
        <v>13586.1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42943</v>
      </c>
      <c r="D95" s="29">
        <v>6106.3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12794.02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62" t="s">
        <v>216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212</v>
      </c>
      <c r="O3" s="473" t="s">
        <v>213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209</v>
      </c>
      <c r="F4" s="456" t="s">
        <v>33</v>
      </c>
      <c r="G4" s="445" t="s">
        <v>210</v>
      </c>
      <c r="H4" s="458" t="s">
        <v>211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217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214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43"/>
      <c r="P93" s="443"/>
    </row>
    <row r="94" spans="3:16" ht="15">
      <c r="C94" s="81">
        <v>42913</v>
      </c>
      <c r="D94" s="29">
        <v>9872.9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42912</v>
      </c>
      <c r="D95" s="29">
        <v>4876.1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225.52589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76"/>
      <c r="P101" s="476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207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201</v>
      </c>
      <c r="O3" s="473" t="s">
        <v>202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198</v>
      </c>
      <c r="F4" s="456" t="s">
        <v>33</v>
      </c>
      <c r="G4" s="445" t="s">
        <v>199</v>
      </c>
      <c r="H4" s="458" t="s">
        <v>200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208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204</v>
      </c>
      <c r="L5" s="449"/>
      <c r="M5" s="450"/>
      <c r="N5" s="459"/>
      <c r="O5" s="461"/>
      <c r="P5" s="446"/>
      <c r="Q5" s="447"/>
      <c r="R5" s="480" t="s">
        <v>203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43"/>
      <c r="P93" s="443"/>
    </row>
    <row r="94" spans="3:16" ht="15">
      <c r="C94" s="81">
        <v>42885</v>
      </c>
      <c r="D94" s="29">
        <v>10664.9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42884</v>
      </c>
      <c r="D95" s="29">
        <v>6919.44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1135.71022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196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191</v>
      </c>
      <c r="O3" s="473" t="s">
        <v>190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187</v>
      </c>
      <c r="F4" s="456" t="s">
        <v>33</v>
      </c>
      <c r="G4" s="445" t="s">
        <v>188</v>
      </c>
      <c r="H4" s="458" t="s">
        <v>189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197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192</v>
      </c>
      <c r="L5" s="449"/>
      <c r="M5" s="450"/>
      <c r="N5" s="459"/>
      <c r="O5" s="461"/>
      <c r="P5" s="446"/>
      <c r="Q5" s="447"/>
      <c r="R5" s="480" t="s">
        <v>193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43"/>
      <c r="P93" s="443"/>
    </row>
    <row r="94" spans="3:16" ht="15">
      <c r="C94" s="81">
        <v>42852</v>
      </c>
      <c r="D94" s="29">
        <v>13266.8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42851</v>
      </c>
      <c r="D95" s="29">
        <v>6064.2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102.57358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2017-12-19T10:25:23Z</cp:lastPrinted>
  <dcterms:created xsi:type="dcterms:W3CDTF">2003-07-28T11:27:56Z</dcterms:created>
  <dcterms:modified xsi:type="dcterms:W3CDTF">2017-12-19T10:38:26Z</dcterms:modified>
  <cp:category/>
  <cp:version/>
  <cp:contentType/>
  <cp:contentStatus/>
</cp:coreProperties>
</file>